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wdp" ContentType="image/vnd.ms-photo"/>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7" rupBuild="28705"/>
  <workbookPr showInkAnnotation="0" codeName="ThisWorkbook" autoCompressPictures="0"/>
  <bookViews>
    <workbookView xWindow="0" yWindow="0" windowWidth="28420" windowHeight="16060" tabRatio="535"/>
  </bookViews>
  <sheets>
    <sheet name="Master List - Lowe's in store" sheetId="1" r:id="rId1"/>
    <sheet name="Main Data File" sheetId="4" state="hidden" r:id="rId2"/>
    <sheet name="4' RV Only" sheetId="5" state="hidden" r:id="rId3"/>
    <sheet name="4' Mobile Home Only" sheetId="6" state="hidden" r:id="rId4"/>
    <sheet name="4' RV and Mobile Home" sheetId="7" state="hidden" r:id="rId5"/>
    <sheet name="8' RV and Mobile Home" sheetId="8" state="hidden" r:id="rId6"/>
    <sheet name="Item-POG breakout" sheetId="9" state="hidden" r:id="rId7"/>
    <sheet name="Lowe's final SKU list" sheetId="11" state="hidden" r:id="rId8"/>
    <sheet name="Jones Stephens" sheetId="17" state="hidden" r:id="rId9"/>
    <sheet name="Master List (Archive)" sheetId="12" state="hidden" r:id="rId10"/>
  </sheets>
  <externalReferences>
    <externalReference r:id="rId11"/>
  </externalReferences>
  <definedNames>
    <definedName name="_xlnm._FilterDatabase" localSheetId="6" hidden="1">'Item-POG breakout'!$A$2:$KZ$151</definedName>
    <definedName name="_xlnm._FilterDatabase" localSheetId="8" hidden="1">'Jones Stephens'!$A$3:$CK$146</definedName>
    <definedName name="_xlnm._FilterDatabase" localSheetId="7" hidden="1">'Lowe''s final SKU list'!$A$1:$M$1</definedName>
    <definedName name="_xlnm._FilterDatabase" localSheetId="1" hidden="1">'Main Data File'!$A$3:$R$3</definedName>
    <definedName name="_xlnm._FilterDatabase" localSheetId="0" hidden="1">'Master List - Lowe''s in store'!$A$1:$P$100</definedName>
    <definedName name="_xlnm._FilterDatabase" localSheetId="9" hidden="1">'Master List (Archive)'!$A$3:$BB$146</definedName>
    <definedName name="_xlnm.Print_Area" localSheetId="6">'Item-POG breakout'!$A$1:$T$151</definedName>
    <definedName name="_xlnm.Print_Titles" localSheetId="6">'Item-POG breakout'!$2:$2</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H146" i="17" l="1"/>
  <c r="BI146" i="17"/>
  <c r="BG146" i="17"/>
  <c r="AW146" i="17"/>
  <c r="CK145" i="17"/>
  <c r="CG145" i="17"/>
  <c r="CF145" i="17"/>
  <c r="BS145" i="17"/>
  <c r="BH145" i="17"/>
  <c r="BI145" i="17"/>
  <c r="BG145" i="17"/>
  <c r="AW145" i="17"/>
  <c r="CK144" i="17"/>
  <c r="CG144" i="17"/>
  <c r="CF144" i="17"/>
  <c r="BS144" i="17"/>
  <c r="BH144" i="17"/>
  <c r="BI144" i="17"/>
  <c r="BJ144" i="17"/>
  <c r="BP144" i="17"/>
  <c r="BQ144" i="17"/>
  <c r="BG144" i="17"/>
  <c r="BA144" i="17"/>
  <c r="AZ144" i="17"/>
  <c r="AW144" i="17"/>
  <c r="CK143" i="17"/>
  <c r="CG143" i="17"/>
  <c r="CF143" i="17"/>
  <c r="BS143" i="17"/>
  <c r="BH143" i="17"/>
  <c r="BI143" i="17"/>
  <c r="BG143" i="17"/>
  <c r="AW143" i="17"/>
  <c r="BH142" i="17"/>
  <c r="BI142" i="17"/>
  <c r="BJ142" i="17"/>
  <c r="BP142" i="17"/>
  <c r="BQ142" i="17"/>
  <c r="BG142" i="17"/>
  <c r="AW142" i="17"/>
  <c r="CK141" i="17"/>
  <c r="CG141" i="17"/>
  <c r="BS141" i="17"/>
  <c r="BH141" i="17"/>
  <c r="BI141" i="17"/>
  <c r="BG141" i="17"/>
  <c r="AW141" i="17"/>
  <c r="CK140" i="17"/>
  <c r="CG140" i="17"/>
  <c r="CF140" i="17"/>
  <c r="BS140" i="17"/>
  <c r="BH140" i="17"/>
  <c r="BI140" i="17"/>
  <c r="BJ140" i="17"/>
  <c r="BP140" i="17"/>
  <c r="BQ140" i="17"/>
  <c r="BG140" i="17"/>
  <c r="AW140" i="17"/>
  <c r="BH139" i="17"/>
  <c r="BI139" i="17"/>
  <c r="BJ139" i="17"/>
  <c r="BP139" i="17"/>
  <c r="BQ139" i="17"/>
  <c r="BG139" i="17"/>
  <c r="AW139" i="17"/>
  <c r="BH138" i="17"/>
  <c r="BI138" i="17"/>
  <c r="BG138" i="17"/>
  <c r="AW138" i="17"/>
  <c r="BS137" i="17"/>
  <c r="BH137" i="17"/>
  <c r="BI137" i="17"/>
  <c r="BJ137" i="17"/>
  <c r="BP137" i="17"/>
  <c r="BQ137" i="17"/>
  <c r="BG137" i="17"/>
  <c r="BA137" i="17"/>
  <c r="AZ137" i="17"/>
  <c r="AW137" i="17"/>
  <c r="BS136" i="17"/>
  <c r="BH136" i="17"/>
  <c r="BI136" i="17"/>
  <c r="BJ136" i="17"/>
  <c r="BP136" i="17"/>
  <c r="BQ136" i="17"/>
  <c r="BG136" i="17"/>
  <c r="AW136" i="17"/>
  <c r="BH135" i="17"/>
  <c r="BI135" i="17"/>
  <c r="BG135" i="17"/>
  <c r="AW135" i="17"/>
  <c r="BH134" i="17"/>
  <c r="BI134" i="17"/>
  <c r="BG134" i="17"/>
  <c r="AW134" i="17"/>
  <c r="BH133" i="17"/>
  <c r="BI133" i="17"/>
  <c r="BG133" i="17"/>
  <c r="AW133" i="17"/>
  <c r="BH132" i="17"/>
  <c r="BI132" i="17"/>
  <c r="BG132" i="17"/>
  <c r="AW132" i="17"/>
  <c r="BS131" i="17"/>
  <c r="BH131" i="17"/>
  <c r="BI131" i="17"/>
  <c r="BJ131" i="17"/>
  <c r="BP131" i="17"/>
  <c r="BQ131" i="17"/>
  <c r="BG131" i="17"/>
  <c r="AW131" i="17"/>
  <c r="CK130" i="17"/>
  <c r="CG130" i="17"/>
  <c r="CF130" i="17"/>
  <c r="BS130" i="17"/>
  <c r="BH130" i="17"/>
  <c r="BI130" i="17"/>
  <c r="BJ130" i="17"/>
  <c r="BG130" i="17"/>
  <c r="AW130" i="17"/>
  <c r="CK129" i="17"/>
  <c r="CG129" i="17"/>
  <c r="CF129" i="17"/>
  <c r="BS129" i="17"/>
  <c r="BH129" i="17"/>
  <c r="BI129" i="17"/>
  <c r="BJ129" i="17"/>
  <c r="BP129" i="17"/>
  <c r="BQ129" i="17"/>
  <c r="BG129" i="17"/>
  <c r="AW129" i="17"/>
  <c r="CK128" i="17"/>
  <c r="CG128" i="17"/>
  <c r="CF128" i="17"/>
  <c r="BS128" i="17"/>
  <c r="BH128" i="17"/>
  <c r="BI128" i="17"/>
  <c r="BG128" i="17"/>
  <c r="AW128" i="17"/>
  <c r="BS127" i="17"/>
  <c r="BH127" i="17"/>
  <c r="BI127" i="17"/>
  <c r="BG127" i="17"/>
  <c r="AW127" i="17"/>
  <c r="BS126" i="17"/>
  <c r="BH126" i="17"/>
  <c r="BI126" i="17"/>
  <c r="BG126" i="17"/>
  <c r="AW126" i="17"/>
  <c r="CK125" i="17"/>
  <c r="CG125" i="17"/>
  <c r="CF125" i="17"/>
  <c r="BS125" i="17"/>
  <c r="BH125" i="17"/>
  <c r="BI125" i="17"/>
  <c r="BJ125" i="17"/>
  <c r="BP125" i="17"/>
  <c r="BQ125" i="17"/>
  <c r="BG125" i="17"/>
  <c r="AW125" i="17"/>
  <c r="BH124" i="17"/>
  <c r="BI124" i="17"/>
  <c r="BJ124" i="17"/>
  <c r="BP124" i="17"/>
  <c r="BQ124" i="17"/>
  <c r="BG124" i="17"/>
  <c r="AW124" i="17"/>
  <c r="BS123" i="17"/>
  <c r="BH123" i="17"/>
  <c r="BI123" i="17"/>
  <c r="BG123" i="17"/>
  <c r="AW123" i="17"/>
  <c r="BS122" i="17"/>
  <c r="BH122" i="17"/>
  <c r="BI122" i="17"/>
  <c r="BJ122" i="17"/>
  <c r="BP122" i="17"/>
  <c r="BQ122" i="17"/>
  <c r="BG122" i="17"/>
  <c r="AW122" i="17"/>
  <c r="BS121" i="17"/>
  <c r="BH121" i="17"/>
  <c r="BI121" i="17"/>
  <c r="BG121" i="17"/>
  <c r="AW121" i="17"/>
  <c r="BS120" i="17"/>
  <c r="BH120" i="17"/>
  <c r="BI120" i="17"/>
  <c r="BG120" i="17"/>
  <c r="AW120" i="17"/>
  <c r="BH119" i="17"/>
  <c r="BI119" i="17"/>
  <c r="BG119" i="17"/>
  <c r="AW119" i="17"/>
  <c r="BH118" i="17"/>
  <c r="BI118" i="17"/>
  <c r="BJ118" i="17"/>
  <c r="BP118" i="17"/>
  <c r="BQ118" i="17"/>
  <c r="BG118" i="17"/>
  <c r="AW118" i="17"/>
  <c r="BH117" i="17"/>
  <c r="BI117" i="17"/>
  <c r="BJ117" i="17"/>
  <c r="BP117" i="17"/>
  <c r="BQ117" i="17"/>
  <c r="BG117" i="17"/>
  <c r="AW117" i="17"/>
  <c r="BH116" i="17"/>
  <c r="BI116" i="17"/>
  <c r="BJ116" i="17"/>
  <c r="BP116" i="17"/>
  <c r="BQ116" i="17"/>
  <c r="BG116" i="17"/>
  <c r="AW116" i="17"/>
  <c r="BH115" i="17"/>
  <c r="BI115" i="17"/>
  <c r="BJ115" i="17"/>
  <c r="BP115" i="17"/>
  <c r="BQ115" i="17"/>
  <c r="BG115" i="17"/>
  <c r="AW115" i="17"/>
  <c r="BH114" i="17"/>
  <c r="BI114" i="17"/>
  <c r="BJ114" i="17"/>
  <c r="BP114" i="17"/>
  <c r="BQ114" i="17"/>
  <c r="BG114" i="17"/>
  <c r="BA114" i="17"/>
  <c r="AZ114" i="17"/>
  <c r="AW114" i="17"/>
  <c r="BS113" i="17"/>
  <c r="BH113" i="17"/>
  <c r="BI113" i="17"/>
  <c r="BJ113" i="17"/>
  <c r="BP113" i="17"/>
  <c r="BQ113" i="17"/>
  <c r="BG113" i="17"/>
  <c r="AW113" i="17"/>
  <c r="BS112" i="17"/>
  <c r="BH112" i="17"/>
  <c r="BI112" i="17"/>
  <c r="BJ112" i="17"/>
  <c r="BP112" i="17"/>
  <c r="BQ112" i="17"/>
  <c r="BG112" i="17"/>
  <c r="AW112" i="17"/>
  <c r="BS111" i="17"/>
  <c r="BH111" i="17"/>
  <c r="BI111" i="17"/>
  <c r="BJ111" i="17"/>
  <c r="BP111" i="17"/>
  <c r="BQ111" i="17"/>
  <c r="BG111" i="17"/>
  <c r="AW111" i="17"/>
  <c r="CK110" i="17"/>
  <c r="CG110" i="17"/>
  <c r="CF110" i="17"/>
  <c r="BS110" i="17"/>
  <c r="BH110" i="17"/>
  <c r="BI110" i="17"/>
  <c r="BG110" i="17"/>
  <c r="AW110" i="17"/>
  <c r="BS109" i="17"/>
  <c r="BH109" i="17"/>
  <c r="BI109" i="17"/>
  <c r="BG109" i="17"/>
  <c r="AW109" i="17"/>
  <c r="CK108" i="17"/>
  <c r="CG108" i="17"/>
  <c r="CF108" i="17"/>
  <c r="BS108" i="17"/>
  <c r="BH108" i="17"/>
  <c r="BI108" i="17"/>
  <c r="BJ108" i="17"/>
  <c r="BP108" i="17"/>
  <c r="BG108" i="17"/>
  <c r="AW108" i="17"/>
  <c r="CK107" i="17"/>
  <c r="CG107" i="17"/>
  <c r="BS107" i="17"/>
  <c r="BH107" i="17"/>
  <c r="BI107" i="17"/>
  <c r="BJ107" i="17"/>
  <c r="BP107" i="17"/>
  <c r="BQ107" i="17"/>
  <c r="BG107" i="17"/>
  <c r="AW107" i="17"/>
  <c r="CK106" i="17"/>
  <c r="CG106" i="17"/>
  <c r="CF106" i="17"/>
  <c r="BS106" i="17"/>
  <c r="BH106" i="17"/>
  <c r="BI106" i="17"/>
  <c r="BJ106" i="17"/>
  <c r="BP106" i="17"/>
  <c r="BQ106" i="17"/>
  <c r="BG106" i="17"/>
  <c r="AW106" i="17"/>
  <c r="BS105" i="17"/>
  <c r="BH105" i="17"/>
  <c r="BI105" i="17"/>
  <c r="BJ105" i="17"/>
  <c r="BP105" i="17"/>
  <c r="BQ105" i="17"/>
  <c r="BG105" i="17"/>
  <c r="AW105" i="17"/>
  <c r="CK104" i="17"/>
  <c r="CG104" i="17"/>
  <c r="CF104" i="17"/>
  <c r="BS104" i="17"/>
  <c r="BH104" i="17"/>
  <c r="BI104" i="17"/>
  <c r="BJ104" i="17"/>
  <c r="BP104" i="17"/>
  <c r="BQ104" i="17"/>
  <c r="BG104" i="17"/>
  <c r="AW104" i="17"/>
  <c r="BS103" i="17"/>
  <c r="BH103" i="17"/>
  <c r="BI103" i="17"/>
  <c r="BG103" i="17"/>
  <c r="AW103" i="17"/>
  <c r="BS102" i="17"/>
  <c r="BH102" i="17"/>
  <c r="BI102" i="17"/>
  <c r="BG102" i="17"/>
  <c r="AW102" i="17"/>
  <c r="CK101" i="17"/>
  <c r="CG101" i="17"/>
  <c r="CF101" i="17"/>
  <c r="BS101" i="17"/>
  <c r="BH101" i="17"/>
  <c r="BI101" i="17"/>
  <c r="BJ101" i="17"/>
  <c r="BP101" i="17"/>
  <c r="BQ101" i="17"/>
  <c r="BG101" i="17"/>
  <c r="AW101" i="17"/>
  <c r="CK100" i="17"/>
  <c r="CG100" i="17"/>
  <c r="CF100" i="17"/>
  <c r="BS100" i="17"/>
  <c r="BH100" i="17"/>
  <c r="BI100" i="17"/>
  <c r="BJ100" i="17"/>
  <c r="BP100" i="17"/>
  <c r="BQ100" i="17"/>
  <c r="BG100" i="17"/>
  <c r="BA100" i="17"/>
  <c r="AZ100" i="17"/>
  <c r="AW100" i="17"/>
  <c r="BS99" i="17"/>
  <c r="BH99" i="17"/>
  <c r="BI99" i="17"/>
  <c r="BJ99" i="17"/>
  <c r="BG99" i="17"/>
  <c r="AW99" i="17"/>
  <c r="CK98" i="17"/>
  <c r="CG98" i="17"/>
  <c r="CF98" i="17"/>
  <c r="BS98" i="17"/>
  <c r="BH98" i="17"/>
  <c r="BI98" i="17"/>
  <c r="BG98" i="17"/>
  <c r="BA98" i="17"/>
  <c r="AZ98" i="17"/>
  <c r="AW98" i="17"/>
  <c r="CK97" i="17"/>
  <c r="CG97" i="17"/>
  <c r="CF97" i="17"/>
  <c r="BS97" i="17"/>
  <c r="BH97" i="17"/>
  <c r="BI97" i="17"/>
  <c r="BG97" i="17"/>
  <c r="AW97" i="17"/>
  <c r="CK96" i="17"/>
  <c r="CG96" i="17"/>
  <c r="CF96" i="17"/>
  <c r="BS96" i="17"/>
  <c r="BH96" i="17"/>
  <c r="BI96" i="17"/>
  <c r="BJ96" i="17"/>
  <c r="BP96" i="17"/>
  <c r="BQ96" i="17"/>
  <c r="BG96" i="17"/>
  <c r="AW96" i="17"/>
  <c r="BS95" i="17"/>
  <c r="BS4" i="17"/>
  <c r="BS5" i="17"/>
  <c r="BS6" i="17"/>
  <c r="BS7" i="17"/>
  <c r="BS8" i="17"/>
  <c r="BS9" i="17"/>
  <c r="BS10" i="17"/>
  <c r="BS11" i="17"/>
  <c r="BS12" i="17"/>
  <c r="BS13" i="17"/>
  <c r="BS14" i="17"/>
  <c r="BS15" i="17"/>
  <c r="BS16" i="17"/>
  <c r="BS17" i="17"/>
  <c r="BS18" i="17"/>
  <c r="BS19" i="17"/>
  <c r="BS20" i="17"/>
  <c r="BS21" i="17"/>
  <c r="BS22" i="17"/>
  <c r="BS23" i="17"/>
  <c r="BS25" i="17"/>
  <c r="BS26" i="17"/>
  <c r="BS27" i="17"/>
  <c r="BS28" i="17"/>
  <c r="BS29" i="17"/>
  <c r="BS30" i="17"/>
  <c r="BS31" i="17"/>
  <c r="BS32" i="17"/>
  <c r="BS33" i="17"/>
  <c r="BS34" i="17"/>
  <c r="BS35" i="17"/>
  <c r="BS36" i="17"/>
  <c r="BS37" i="17"/>
  <c r="BS38" i="17"/>
  <c r="BS39" i="17"/>
  <c r="BS40" i="17"/>
  <c r="BS41" i="17"/>
  <c r="BS42" i="17"/>
  <c r="BS43" i="17"/>
  <c r="BS44" i="17"/>
  <c r="BS45" i="17"/>
  <c r="BS46" i="17"/>
  <c r="BS47" i="17"/>
  <c r="BS48" i="17"/>
  <c r="BS49" i="17"/>
  <c r="BS50" i="17"/>
  <c r="BS51" i="17"/>
  <c r="BS52" i="17"/>
  <c r="BS53" i="17"/>
  <c r="BS54" i="17"/>
  <c r="BS55" i="17"/>
  <c r="BS56" i="17"/>
  <c r="BS57" i="17"/>
  <c r="BS58" i="17"/>
  <c r="BS59" i="17"/>
  <c r="BS60" i="17"/>
  <c r="BS61" i="17"/>
  <c r="BS62" i="17"/>
  <c r="BS63" i="17"/>
  <c r="BS64" i="17"/>
  <c r="BS65" i="17"/>
  <c r="BS66" i="17"/>
  <c r="BS67" i="17"/>
  <c r="BS68" i="17"/>
  <c r="BS69" i="17"/>
  <c r="BS70" i="17"/>
  <c r="BS71" i="17"/>
  <c r="BS72" i="17"/>
  <c r="BS73" i="17"/>
  <c r="BS74" i="17"/>
  <c r="BS75" i="17"/>
  <c r="BS76" i="17"/>
  <c r="BS77" i="17"/>
  <c r="BS78" i="17"/>
  <c r="BS80" i="17"/>
  <c r="BS81" i="17"/>
  <c r="BS82" i="17"/>
  <c r="BS83" i="17"/>
  <c r="BS84" i="17"/>
  <c r="BS85" i="17"/>
  <c r="BS86" i="17"/>
  <c r="BS87" i="17"/>
  <c r="BS88" i="17"/>
  <c r="BS89" i="17"/>
  <c r="BS90" i="17"/>
  <c r="BS91" i="17"/>
  <c r="BS92" i="17"/>
  <c r="BS93" i="17"/>
  <c r="BS94" i="17"/>
  <c r="BH95" i="17"/>
  <c r="BI95" i="17"/>
  <c r="BJ95" i="17"/>
  <c r="BP95" i="17"/>
  <c r="BQ95" i="17"/>
  <c r="BG95" i="17"/>
  <c r="AW95" i="17"/>
  <c r="CK94" i="17"/>
  <c r="CG94" i="17"/>
  <c r="CF94" i="17"/>
  <c r="BH94" i="17"/>
  <c r="BI94" i="17"/>
  <c r="BJ94" i="17"/>
  <c r="BP94" i="17"/>
  <c r="BQ94" i="17"/>
  <c r="BG94" i="17"/>
  <c r="AW94" i="17"/>
  <c r="CK93" i="17"/>
  <c r="CG93" i="17"/>
  <c r="CF93" i="17"/>
  <c r="BH93" i="17"/>
  <c r="BI93" i="17"/>
  <c r="BG93" i="17"/>
  <c r="AW93" i="17"/>
  <c r="CK92" i="17"/>
  <c r="CG92" i="17"/>
  <c r="CF92" i="17"/>
  <c r="BH92" i="17"/>
  <c r="BI92" i="17"/>
  <c r="BG92" i="17"/>
  <c r="BA92" i="17"/>
  <c r="AZ92" i="17"/>
  <c r="AW92" i="17"/>
  <c r="CK91" i="17"/>
  <c r="CG91" i="17"/>
  <c r="CF91" i="17"/>
  <c r="BH91" i="17"/>
  <c r="BI91" i="17"/>
  <c r="BJ91" i="17"/>
  <c r="BP91" i="17"/>
  <c r="BQ91" i="17"/>
  <c r="BG91" i="17"/>
  <c r="AW91" i="17"/>
  <c r="CK90" i="17"/>
  <c r="CG90" i="17"/>
  <c r="CF90" i="17"/>
  <c r="BH90" i="17"/>
  <c r="BI90" i="17"/>
  <c r="BG90" i="17"/>
  <c r="AW90" i="17"/>
  <c r="CK89" i="17"/>
  <c r="CG89" i="17"/>
  <c r="CF89" i="17"/>
  <c r="BH89" i="17"/>
  <c r="BI89" i="17"/>
  <c r="BG89" i="17"/>
  <c r="BA89" i="17"/>
  <c r="AZ89" i="17"/>
  <c r="AW89" i="17"/>
  <c r="BH88" i="17"/>
  <c r="BI88" i="17"/>
  <c r="BJ88" i="17"/>
  <c r="BP88" i="17"/>
  <c r="BQ88" i="17"/>
  <c r="BG88" i="17"/>
  <c r="AW88" i="17"/>
  <c r="BH87" i="17"/>
  <c r="BI87" i="17"/>
  <c r="BG87" i="17"/>
  <c r="BA87" i="17"/>
  <c r="AZ87" i="17"/>
  <c r="AW87" i="17"/>
  <c r="BH86" i="17"/>
  <c r="BI86" i="17"/>
  <c r="BJ86" i="17"/>
  <c r="BP86" i="17"/>
  <c r="BQ86" i="17"/>
  <c r="BG86" i="17"/>
  <c r="AW86" i="17"/>
  <c r="CK85" i="17"/>
  <c r="CG85" i="17"/>
  <c r="CF85" i="17"/>
  <c r="BH85" i="17"/>
  <c r="BI85" i="17"/>
  <c r="BJ85" i="17"/>
  <c r="BP85" i="17"/>
  <c r="BQ85" i="17"/>
  <c r="BG85" i="17"/>
  <c r="AW85" i="17"/>
  <c r="CK84" i="17"/>
  <c r="CG84" i="17"/>
  <c r="CF84" i="17"/>
  <c r="BH84" i="17"/>
  <c r="BI84" i="17"/>
  <c r="BJ84" i="17"/>
  <c r="BP84" i="17"/>
  <c r="BQ84" i="17"/>
  <c r="BG84" i="17"/>
  <c r="AW84" i="17"/>
  <c r="CK83" i="17"/>
  <c r="CG83" i="17"/>
  <c r="BH83" i="17"/>
  <c r="BI83" i="17"/>
  <c r="BJ83" i="17"/>
  <c r="BG83" i="17"/>
  <c r="AW83" i="17"/>
  <c r="CK82" i="17"/>
  <c r="CG82" i="17"/>
  <c r="CF82" i="17"/>
  <c r="BH82" i="17"/>
  <c r="BI82" i="17"/>
  <c r="BJ82" i="17"/>
  <c r="BP82" i="17"/>
  <c r="BQ82" i="17"/>
  <c r="BG82" i="17"/>
  <c r="AW82" i="17"/>
  <c r="CK81" i="17"/>
  <c r="CG81" i="17"/>
  <c r="CF81" i="17"/>
  <c r="BH81" i="17"/>
  <c r="BI81" i="17"/>
  <c r="BJ81" i="17"/>
  <c r="BP81" i="17"/>
  <c r="BQ81" i="17"/>
  <c r="BG81" i="17"/>
  <c r="AW81" i="17"/>
  <c r="CK80" i="17"/>
  <c r="CG80" i="17"/>
  <c r="BH80" i="17"/>
  <c r="BI80" i="17"/>
  <c r="BJ80" i="17"/>
  <c r="BP80" i="17"/>
  <c r="BQ80" i="17"/>
  <c r="BG80" i="17"/>
  <c r="AW80" i="17"/>
  <c r="BH79" i="17"/>
  <c r="BI79" i="17"/>
  <c r="BJ79" i="17"/>
  <c r="BP79" i="17"/>
  <c r="BQ79" i="17"/>
  <c r="BG79" i="17"/>
  <c r="AW79" i="17"/>
  <c r="CK78" i="17"/>
  <c r="CG78" i="17"/>
  <c r="CF78" i="17"/>
  <c r="BH78" i="17"/>
  <c r="BI78" i="17"/>
  <c r="BJ78" i="17"/>
  <c r="BP78" i="17"/>
  <c r="BQ78" i="17"/>
  <c r="BG78" i="17"/>
  <c r="AW78" i="17"/>
  <c r="CK77" i="17"/>
  <c r="CG77" i="17"/>
  <c r="CF77" i="17"/>
  <c r="BH77" i="17"/>
  <c r="BI77" i="17"/>
  <c r="BG77" i="17"/>
  <c r="AW77" i="17"/>
  <c r="CK76" i="17"/>
  <c r="CG76" i="17"/>
  <c r="CF76" i="17"/>
  <c r="BH76" i="17"/>
  <c r="BI76" i="17"/>
  <c r="BG76" i="17"/>
  <c r="AW76" i="17"/>
  <c r="BH75" i="17"/>
  <c r="BI75" i="17"/>
  <c r="BJ75" i="17"/>
  <c r="BP75" i="17"/>
  <c r="BQ75" i="17"/>
  <c r="BG75" i="17"/>
  <c r="AW75" i="17"/>
  <c r="CK74" i="17"/>
  <c r="CG74" i="17"/>
  <c r="CF74" i="17"/>
  <c r="BH74" i="17"/>
  <c r="BI74" i="17"/>
  <c r="BJ74" i="17"/>
  <c r="BP74" i="17"/>
  <c r="BQ74" i="17"/>
  <c r="BG74" i="17"/>
  <c r="AW74" i="17"/>
  <c r="CK73" i="17"/>
  <c r="CG73" i="17"/>
  <c r="CF73" i="17"/>
  <c r="BH73" i="17"/>
  <c r="BI73" i="17"/>
  <c r="BG73" i="17"/>
  <c r="AW73" i="17"/>
  <c r="BH72" i="17"/>
  <c r="BI72" i="17"/>
  <c r="BG72" i="17"/>
  <c r="BA72" i="17"/>
  <c r="AZ72" i="17"/>
  <c r="AW72" i="17"/>
  <c r="CK71" i="17"/>
  <c r="CG71" i="17"/>
  <c r="CF71" i="17"/>
  <c r="BH71" i="17"/>
  <c r="BI71" i="17"/>
  <c r="BG71" i="17"/>
  <c r="AW71" i="17"/>
  <c r="CK70" i="17"/>
  <c r="CG70" i="17"/>
  <c r="CF70" i="17"/>
  <c r="BH70" i="17"/>
  <c r="BI70" i="17"/>
  <c r="BJ70" i="17"/>
  <c r="BP70" i="17"/>
  <c r="BQ70" i="17"/>
  <c r="BG70" i="17"/>
  <c r="AW70" i="17"/>
  <c r="CK69" i="17"/>
  <c r="CG69" i="17"/>
  <c r="CF69" i="17"/>
  <c r="BH69" i="17"/>
  <c r="BI69" i="17"/>
  <c r="BJ69" i="17"/>
  <c r="BP69" i="17"/>
  <c r="BQ69" i="17"/>
  <c r="BG69" i="17"/>
  <c r="AW69" i="17"/>
  <c r="CK68" i="17"/>
  <c r="CG68" i="17"/>
  <c r="BH68" i="17"/>
  <c r="BI68" i="17"/>
  <c r="BJ68" i="17"/>
  <c r="BP68" i="17"/>
  <c r="BQ68" i="17"/>
  <c r="BG68" i="17"/>
  <c r="AW68" i="17"/>
  <c r="CK67" i="17"/>
  <c r="CG67" i="17"/>
  <c r="CF67" i="17"/>
  <c r="BH67" i="17"/>
  <c r="BI67" i="17"/>
  <c r="BJ67" i="17"/>
  <c r="BP67" i="17"/>
  <c r="BQ67" i="17"/>
  <c r="BG67" i="17"/>
  <c r="AW67" i="17"/>
  <c r="CK66" i="17"/>
  <c r="CG66" i="17"/>
  <c r="CF66" i="17"/>
  <c r="BH66" i="17"/>
  <c r="BI66" i="17"/>
  <c r="BJ66" i="17"/>
  <c r="BP66" i="17"/>
  <c r="BQ66" i="17"/>
  <c r="BG66" i="17"/>
  <c r="AW66" i="17"/>
  <c r="CK65" i="17"/>
  <c r="CG65" i="17"/>
  <c r="CF65" i="17"/>
  <c r="BH65" i="17"/>
  <c r="BI65" i="17"/>
  <c r="BG65" i="17"/>
  <c r="AW65" i="17"/>
  <c r="CK64" i="17"/>
  <c r="CG64" i="17"/>
  <c r="CF64" i="17"/>
  <c r="BH64" i="17"/>
  <c r="BI64" i="17"/>
  <c r="BJ64" i="17"/>
  <c r="BP64" i="17"/>
  <c r="BQ64" i="17"/>
  <c r="BG64" i="17"/>
  <c r="BA64" i="17"/>
  <c r="AZ64" i="17"/>
  <c r="AW64" i="17"/>
  <c r="CK63" i="17"/>
  <c r="CG63" i="17"/>
  <c r="CF63" i="17"/>
  <c r="BH63" i="17"/>
  <c r="BI63" i="17"/>
  <c r="BG63" i="17"/>
  <c r="BA63" i="17"/>
  <c r="AZ63" i="17"/>
  <c r="AW63" i="17"/>
  <c r="CK62" i="17"/>
  <c r="CG62" i="17"/>
  <c r="CF62" i="17"/>
  <c r="BH62" i="17"/>
  <c r="BI62" i="17"/>
  <c r="BJ62" i="17"/>
  <c r="BP62" i="17"/>
  <c r="BQ62" i="17"/>
  <c r="BG62" i="17"/>
  <c r="BA62" i="17"/>
  <c r="AZ62" i="17"/>
  <c r="AW62" i="17"/>
  <c r="CK61" i="17"/>
  <c r="CG61" i="17"/>
  <c r="CF61" i="17"/>
  <c r="BH61" i="17"/>
  <c r="BI61" i="17"/>
  <c r="BJ61" i="17"/>
  <c r="BP61" i="17"/>
  <c r="BQ61" i="17"/>
  <c r="BG61" i="17"/>
  <c r="BA61" i="17"/>
  <c r="AZ61" i="17"/>
  <c r="AW61" i="17"/>
  <c r="CK60" i="17"/>
  <c r="CG60" i="17"/>
  <c r="CF60" i="17"/>
  <c r="BH60" i="17"/>
  <c r="BI60" i="17"/>
  <c r="BJ60" i="17"/>
  <c r="BP60" i="17"/>
  <c r="BQ60" i="17"/>
  <c r="BG60" i="17"/>
  <c r="BA60" i="17"/>
  <c r="AZ60" i="17"/>
  <c r="AW60" i="17"/>
  <c r="CK59" i="17"/>
  <c r="CG59" i="17"/>
  <c r="CF59" i="17"/>
  <c r="BH59" i="17"/>
  <c r="BI59" i="17"/>
  <c r="BG59" i="17"/>
  <c r="AW59" i="17"/>
  <c r="CK58" i="17"/>
  <c r="CG58" i="17"/>
  <c r="BH58" i="17"/>
  <c r="BI58" i="17"/>
  <c r="BG58" i="17"/>
  <c r="AW58" i="17"/>
  <c r="CK57" i="17"/>
  <c r="CG57" i="17"/>
  <c r="BH57" i="17"/>
  <c r="BI57" i="17"/>
  <c r="BJ57" i="17"/>
  <c r="BP57" i="17"/>
  <c r="BQ57" i="17"/>
  <c r="BG57" i="17"/>
  <c r="AW57" i="17"/>
  <c r="CK56" i="17"/>
  <c r="CG56" i="17"/>
  <c r="BH56" i="17"/>
  <c r="BI56" i="17"/>
  <c r="BG56" i="17"/>
  <c r="AW56" i="17"/>
  <c r="CK55" i="17"/>
  <c r="CG55" i="17"/>
  <c r="CF55" i="17"/>
  <c r="BH55" i="17"/>
  <c r="BI55" i="17"/>
  <c r="BG55" i="17"/>
  <c r="AW55" i="17"/>
  <c r="CK54" i="17"/>
  <c r="CG54" i="17"/>
  <c r="BH54" i="17"/>
  <c r="BI54" i="17"/>
  <c r="BG54" i="17"/>
  <c r="AW54" i="17"/>
  <c r="CK53" i="17"/>
  <c r="CG53" i="17"/>
  <c r="CF53" i="17"/>
  <c r="BH53" i="17"/>
  <c r="BI53" i="17"/>
  <c r="BG53" i="17"/>
  <c r="AW53" i="17"/>
  <c r="CK52" i="17"/>
  <c r="CG52" i="17"/>
  <c r="CF52" i="17"/>
  <c r="BH52" i="17"/>
  <c r="BI52" i="17"/>
  <c r="BG52" i="17"/>
  <c r="AW52" i="17"/>
  <c r="CK51" i="17"/>
  <c r="CG51" i="17"/>
  <c r="CF51" i="17"/>
  <c r="BH51" i="17"/>
  <c r="BI51" i="17"/>
  <c r="BJ51" i="17"/>
  <c r="BP51" i="17"/>
  <c r="BQ51" i="17"/>
  <c r="BG51" i="17"/>
  <c r="AW51" i="17"/>
  <c r="CK50" i="17"/>
  <c r="CG50" i="17"/>
  <c r="BH50" i="17"/>
  <c r="BI50" i="17"/>
  <c r="BJ50" i="17"/>
  <c r="BP50" i="17"/>
  <c r="BQ50" i="17"/>
  <c r="BG50" i="17"/>
  <c r="AW50" i="17"/>
  <c r="CK49" i="17"/>
  <c r="CG49" i="17"/>
  <c r="CF49" i="17"/>
  <c r="BH49" i="17"/>
  <c r="BI49" i="17"/>
  <c r="BG49" i="17"/>
  <c r="AW49" i="17"/>
  <c r="CK48" i="17"/>
  <c r="CG48" i="17"/>
  <c r="CF48" i="17"/>
  <c r="BH48" i="17"/>
  <c r="BI48" i="17"/>
  <c r="BJ48" i="17"/>
  <c r="BP48" i="17"/>
  <c r="BQ48" i="17"/>
  <c r="BG48" i="17"/>
  <c r="AW48" i="17"/>
  <c r="CK47" i="17"/>
  <c r="CG47" i="17"/>
  <c r="CF47" i="17"/>
  <c r="BH47" i="17"/>
  <c r="BI47" i="17"/>
  <c r="BG47" i="17"/>
  <c r="BA47" i="17"/>
  <c r="AZ47" i="17"/>
  <c r="AW47" i="17"/>
  <c r="CK46" i="17"/>
  <c r="CG46" i="17"/>
  <c r="CF46" i="17"/>
  <c r="BH46" i="17"/>
  <c r="BI46" i="17"/>
  <c r="BG46" i="17"/>
  <c r="AW46" i="17"/>
  <c r="CK45" i="17"/>
  <c r="CG45" i="17"/>
  <c r="CF45" i="17"/>
  <c r="BH45" i="17"/>
  <c r="BI45" i="17"/>
  <c r="BG45" i="17"/>
  <c r="AW45" i="17"/>
  <c r="CK44" i="17"/>
  <c r="CG44" i="17"/>
  <c r="CF44" i="17"/>
  <c r="BH44" i="17"/>
  <c r="BI44" i="17"/>
  <c r="BJ44" i="17"/>
  <c r="BP44" i="17"/>
  <c r="BQ44" i="17"/>
  <c r="BG44" i="17"/>
  <c r="AW44" i="17"/>
  <c r="CK43" i="17"/>
  <c r="CG43" i="17"/>
  <c r="CF43" i="17"/>
  <c r="BH43" i="17"/>
  <c r="BI43" i="17"/>
  <c r="BG43" i="17"/>
  <c r="BA43" i="17"/>
  <c r="AZ43" i="17"/>
  <c r="AW43" i="17"/>
  <c r="CK42" i="17"/>
  <c r="CG42" i="17"/>
  <c r="CF42" i="17"/>
  <c r="BH42" i="17"/>
  <c r="BI42" i="17"/>
  <c r="BG42" i="17"/>
  <c r="AW42" i="17"/>
  <c r="CK41" i="17"/>
  <c r="CG41" i="17"/>
  <c r="CF41" i="17"/>
  <c r="BH41" i="17"/>
  <c r="BI41" i="17"/>
  <c r="BG41" i="17"/>
  <c r="AW41" i="17"/>
  <c r="CK40" i="17"/>
  <c r="CG40" i="17"/>
  <c r="CF40" i="17"/>
  <c r="BH40" i="17"/>
  <c r="BI40" i="17"/>
  <c r="BJ40" i="17"/>
  <c r="BP40" i="17"/>
  <c r="BQ40" i="17"/>
  <c r="BG40" i="17"/>
  <c r="AW40" i="17"/>
  <c r="CK39" i="17"/>
  <c r="CG39" i="17"/>
  <c r="CF39" i="17"/>
  <c r="BH39" i="17"/>
  <c r="BI39" i="17"/>
  <c r="BJ39" i="17"/>
  <c r="BP39" i="17"/>
  <c r="BQ39" i="17"/>
  <c r="BG39" i="17"/>
  <c r="AW39" i="17"/>
  <c r="CK38" i="17"/>
  <c r="CG38" i="17"/>
  <c r="CF38" i="17"/>
  <c r="BH38" i="17"/>
  <c r="BI38" i="17"/>
  <c r="BG38" i="17"/>
  <c r="AW38" i="17"/>
  <c r="CK37" i="17"/>
  <c r="CG37" i="17"/>
  <c r="CF37" i="17"/>
  <c r="BH37" i="17"/>
  <c r="BI37" i="17"/>
  <c r="BG37" i="17"/>
  <c r="BA37" i="17"/>
  <c r="AZ37" i="17"/>
  <c r="AW37" i="17"/>
  <c r="CK36" i="17"/>
  <c r="CG36" i="17"/>
  <c r="CF36" i="17"/>
  <c r="BH36" i="17"/>
  <c r="BI36" i="17"/>
  <c r="BG36" i="17"/>
  <c r="AZ36" i="17"/>
  <c r="AW36" i="17"/>
  <c r="CK35" i="17"/>
  <c r="CG35" i="17"/>
  <c r="CF35" i="17"/>
  <c r="BH35" i="17"/>
  <c r="BI35" i="17"/>
  <c r="BJ35" i="17"/>
  <c r="BG35" i="17"/>
  <c r="BA35" i="17"/>
  <c r="AZ35" i="17"/>
  <c r="AW35" i="17"/>
  <c r="CK34" i="17"/>
  <c r="CG34" i="17"/>
  <c r="BH34" i="17"/>
  <c r="BI34" i="17"/>
  <c r="BG34" i="17"/>
  <c r="AW34" i="17"/>
  <c r="CK33" i="17"/>
  <c r="CG33" i="17"/>
  <c r="BH33" i="17"/>
  <c r="BI33" i="17"/>
  <c r="BJ33" i="17"/>
  <c r="BP33" i="17"/>
  <c r="BQ33" i="17"/>
  <c r="BG33" i="17"/>
  <c r="AW33" i="17"/>
  <c r="CK32" i="17"/>
  <c r="CG32" i="17"/>
  <c r="CF32" i="17"/>
  <c r="BH32" i="17"/>
  <c r="BI32" i="17"/>
  <c r="BJ32" i="17"/>
  <c r="BP32" i="17"/>
  <c r="BQ32" i="17"/>
  <c r="BG32" i="17"/>
  <c r="AW32" i="17"/>
  <c r="CK31" i="17"/>
  <c r="CG31" i="17"/>
  <c r="CF31" i="17"/>
  <c r="BH31" i="17"/>
  <c r="BI31" i="17"/>
  <c r="BG31" i="17"/>
  <c r="AW31" i="17"/>
  <c r="CK30" i="17"/>
  <c r="CG30" i="17"/>
  <c r="CF30" i="17"/>
  <c r="BH30" i="17"/>
  <c r="BI30" i="17"/>
  <c r="BJ30" i="17"/>
  <c r="BP30" i="17"/>
  <c r="BQ30" i="17"/>
  <c r="BG30" i="17"/>
  <c r="AW30" i="17"/>
  <c r="CK29" i="17"/>
  <c r="CG29" i="17"/>
  <c r="CF29" i="17"/>
  <c r="BH29" i="17"/>
  <c r="BI29" i="17"/>
  <c r="BG29" i="17"/>
  <c r="AZ29" i="17"/>
  <c r="AW29" i="17"/>
  <c r="CK28" i="17"/>
  <c r="CG28" i="17"/>
  <c r="CF28" i="17"/>
  <c r="BH28" i="17"/>
  <c r="BI28" i="17"/>
  <c r="BG28" i="17"/>
  <c r="BA28" i="17"/>
  <c r="AZ28" i="17"/>
  <c r="AW28" i="17"/>
  <c r="CK27" i="17"/>
  <c r="CG27" i="17"/>
  <c r="CF27" i="17"/>
  <c r="BH27" i="17"/>
  <c r="BI27" i="17"/>
  <c r="BJ27" i="17"/>
  <c r="BP27" i="17"/>
  <c r="BQ27" i="17"/>
  <c r="BG27" i="17"/>
  <c r="AW27" i="17"/>
  <c r="BH26" i="17"/>
  <c r="BI26" i="17"/>
  <c r="BJ26" i="17"/>
  <c r="BP26" i="17"/>
  <c r="BQ26" i="17"/>
  <c r="BG26" i="17"/>
  <c r="AW26" i="17"/>
  <c r="BH25" i="17"/>
  <c r="BI25" i="17"/>
  <c r="BJ25" i="17"/>
  <c r="BP25" i="17"/>
  <c r="BQ25" i="17"/>
  <c r="BG25" i="17"/>
  <c r="AW25" i="17"/>
  <c r="BH24" i="17"/>
  <c r="BI24" i="17"/>
  <c r="BG24" i="17"/>
  <c r="BA24" i="17"/>
  <c r="AZ24" i="17"/>
  <c r="AW24" i="17"/>
  <c r="CK23" i="17"/>
  <c r="CG23" i="17"/>
  <c r="CF23" i="17"/>
  <c r="BH23" i="17"/>
  <c r="BI23" i="17"/>
  <c r="BJ23" i="17"/>
  <c r="BP23" i="17"/>
  <c r="BQ23" i="17"/>
  <c r="BG23" i="17"/>
  <c r="AW23" i="17"/>
  <c r="CK22" i="17"/>
  <c r="CG22" i="17"/>
  <c r="CF22" i="17"/>
  <c r="BH22" i="17"/>
  <c r="BI22" i="17"/>
  <c r="BJ22" i="17"/>
  <c r="BP22" i="17"/>
  <c r="BQ22" i="17"/>
  <c r="BG22" i="17"/>
  <c r="BA22" i="17"/>
  <c r="AZ22" i="17"/>
  <c r="AW22" i="17"/>
  <c r="CK21" i="17"/>
  <c r="CG21" i="17"/>
  <c r="CF21" i="17"/>
  <c r="BH21" i="17"/>
  <c r="BI21" i="17"/>
  <c r="BG21" i="17"/>
  <c r="BA21" i="17"/>
  <c r="AZ21" i="17"/>
  <c r="AW21" i="17"/>
  <c r="CK20" i="17"/>
  <c r="CG20" i="17"/>
  <c r="CF20" i="17"/>
  <c r="BH20" i="17"/>
  <c r="BI20" i="17"/>
  <c r="BJ20" i="17"/>
  <c r="BP20" i="17"/>
  <c r="BQ20" i="17"/>
  <c r="BG20" i="17"/>
  <c r="AW20" i="17"/>
  <c r="CK19" i="17"/>
  <c r="CG19" i="17"/>
  <c r="CF19" i="17"/>
  <c r="BH19" i="17"/>
  <c r="BI19" i="17"/>
  <c r="BJ19" i="17"/>
  <c r="BP19" i="17"/>
  <c r="BQ19" i="17"/>
  <c r="BG19" i="17"/>
  <c r="BA19" i="17"/>
  <c r="AZ19" i="17"/>
  <c r="AW19" i="17"/>
  <c r="CK18" i="17"/>
  <c r="CG18" i="17"/>
  <c r="CF18" i="17"/>
  <c r="BH18" i="17"/>
  <c r="BI18" i="17"/>
  <c r="BG18" i="17"/>
  <c r="AW18" i="17"/>
  <c r="BH17" i="17"/>
  <c r="BI17" i="17"/>
  <c r="BJ17" i="17"/>
  <c r="BP17" i="17"/>
  <c r="BQ17" i="17"/>
  <c r="BG17" i="17"/>
  <c r="AW17" i="17"/>
  <c r="BH16" i="17"/>
  <c r="BI16" i="17"/>
  <c r="BG16" i="17"/>
  <c r="AW16" i="17"/>
  <c r="CK15" i="17"/>
  <c r="CG15" i="17"/>
  <c r="CF15" i="17"/>
  <c r="BH15" i="17"/>
  <c r="BI15" i="17"/>
  <c r="BJ15" i="17"/>
  <c r="BP15" i="17"/>
  <c r="BQ15" i="17"/>
  <c r="BG15" i="17"/>
  <c r="AW15" i="17"/>
  <c r="CK14" i="17"/>
  <c r="CG14" i="17"/>
  <c r="CF14" i="17"/>
  <c r="BH14" i="17"/>
  <c r="BI14" i="17"/>
  <c r="BG14" i="17"/>
  <c r="AW14" i="17"/>
  <c r="CK13" i="17"/>
  <c r="CG13" i="17"/>
  <c r="CF13" i="17"/>
  <c r="BH13" i="17"/>
  <c r="BI13" i="17"/>
  <c r="BG13" i="17"/>
  <c r="BA13" i="17"/>
  <c r="AZ13" i="17"/>
  <c r="AW13" i="17"/>
  <c r="CK12" i="17"/>
  <c r="CG12" i="17"/>
  <c r="CF12" i="17"/>
  <c r="BH12" i="17"/>
  <c r="BI12" i="17"/>
  <c r="BJ12" i="17"/>
  <c r="BP12" i="17"/>
  <c r="BQ12" i="17"/>
  <c r="BG12" i="17"/>
  <c r="BA12" i="17"/>
  <c r="AZ12" i="17"/>
  <c r="AW12" i="17"/>
  <c r="BH11" i="17"/>
  <c r="BI11" i="17"/>
  <c r="BG11" i="17"/>
  <c r="BA11" i="17"/>
  <c r="AZ11" i="17"/>
  <c r="AW11" i="17"/>
  <c r="CK10" i="17"/>
  <c r="CG10" i="17"/>
  <c r="CF10" i="17"/>
  <c r="BH10" i="17"/>
  <c r="BI10" i="17"/>
  <c r="BG10" i="17"/>
  <c r="BA10" i="17"/>
  <c r="AZ10" i="17"/>
  <c r="AW10" i="17"/>
  <c r="CK9" i="17"/>
  <c r="CG9" i="17"/>
  <c r="CF9" i="17"/>
  <c r="BH9" i="17"/>
  <c r="BI9" i="17"/>
  <c r="BJ9" i="17"/>
  <c r="BP9" i="17"/>
  <c r="BQ9" i="17"/>
  <c r="BG9" i="17"/>
  <c r="AW9" i="17"/>
  <c r="CK8" i="17"/>
  <c r="CG8" i="17"/>
  <c r="CF8" i="17"/>
  <c r="BH8" i="17"/>
  <c r="BI8" i="17"/>
  <c r="BG8" i="17"/>
  <c r="AW8" i="17"/>
  <c r="CK7" i="17"/>
  <c r="CG7" i="17"/>
  <c r="BH7" i="17"/>
  <c r="BI7" i="17"/>
  <c r="BG7" i="17"/>
  <c r="AW7" i="17"/>
  <c r="CK6" i="17"/>
  <c r="CG6" i="17"/>
  <c r="CF6" i="17"/>
  <c r="BH6" i="17"/>
  <c r="BI6" i="17"/>
  <c r="BG6" i="17"/>
  <c r="BA6" i="17"/>
  <c r="AZ6" i="17"/>
  <c r="AW6" i="17"/>
  <c r="CK5" i="17"/>
  <c r="CG5" i="17"/>
  <c r="CF5" i="17"/>
  <c r="BH5" i="17"/>
  <c r="BI5" i="17"/>
  <c r="BG5" i="17"/>
  <c r="BA5" i="17"/>
  <c r="AZ5" i="17"/>
  <c r="AW5" i="17"/>
  <c r="CK4" i="17"/>
  <c r="CG4" i="17"/>
  <c r="CF4" i="17"/>
  <c r="BH4" i="17"/>
  <c r="BI4" i="17"/>
  <c r="BG4" i="17"/>
  <c r="BA4" i="17"/>
  <c r="AZ4" i="17"/>
  <c r="AW4" i="17"/>
  <c r="P1" i="17"/>
  <c r="BB146" i="12"/>
  <c r="BA146" i="12"/>
  <c r="AZ146" i="12"/>
  <c r="AY146" i="12"/>
  <c r="AX146" i="12"/>
  <c r="AW146" i="12"/>
  <c r="AS146" i="12"/>
  <c r="AR146" i="12"/>
  <c r="AU146" i="12"/>
  <c r="AQ146" i="12"/>
  <c r="T146" i="12"/>
  <c r="S146" i="12"/>
  <c r="R146" i="12"/>
  <c r="Q146" i="12"/>
  <c r="P146" i="12"/>
  <c r="O146" i="12"/>
  <c r="J146" i="12"/>
  <c r="I146" i="12"/>
  <c r="G146" i="12"/>
  <c r="B146" i="12"/>
  <c r="BB145" i="12"/>
  <c r="BA145" i="12"/>
  <c r="AZ145" i="12"/>
  <c r="AY145" i="12"/>
  <c r="AX145" i="12"/>
  <c r="AW145" i="12"/>
  <c r="AS145" i="12"/>
  <c r="AR145" i="12"/>
  <c r="AU145" i="12"/>
  <c r="AQ145" i="12"/>
  <c r="T145" i="12"/>
  <c r="S145" i="12"/>
  <c r="R145" i="12"/>
  <c r="Q145" i="12"/>
  <c r="P145" i="12"/>
  <c r="O145" i="12"/>
  <c r="J145" i="12"/>
  <c r="I145" i="12"/>
  <c r="G145" i="12"/>
  <c r="B145" i="12"/>
  <c r="BB144" i="12"/>
  <c r="BA144" i="12"/>
  <c r="AZ144" i="12"/>
  <c r="AY144" i="12"/>
  <c r="AX144" i="12"/>
  <c r="AW144" i="12"/>
  <c r="AS144" i="12"/>
  <c r="AR144" i="12"/>
  <c r="AU144" i="12"/>
  <c r="AQ144" i="12"/>
  <c r="T144" i="12"/>
  <c r="S144" i="12"/>
  <c r="R144" i="12"/>
  <c r="Q144" i="12"/>
  <c r="P144" i="12"/>
  <c r="O144" i="12"/>
  <c r="J144" i="12"/>
  <c r="I144" i="12"/>
  <c r="G144" i="12"/>
  <c r="B144" i="12"/>
  <c r="BB143" i="12"/>
  <c r="BA143" i="12"/>
  <c r="AZ143" i="12"/>
  <c r="AY143" i="12"/>
  <c r="AX143" i="12"/>
  <c r="AW143" i="12"/>
  <c r="AS143" i="12"/>
  <c r="AR143" i="12"/>
  <c r="AQ143" i="12"/>
  <c r="T143" i="12"/>
  <c r="S143" i="12"/>
  <c r="R143" i="12"/>
  <c r="Q143" i="12"/>
  <c r="P143" i="12"/>
  <c r="O143" i="12"/>
  <c r="J143" i="12"/>
  <c r="I143" i="12"/>
  <c r="G143" i="12"/>
  <c r="B143" i="12"/>
  <c r="BB142" i="12"/>
  <c r="BA142" i="12"/>
  <c r="AZ142" i="12"/>
  <c r="AY142" i="12"/>
  <c r="AX142" i="12"/>
  <c r="AW142" i="12"/>
  <c r="AS142" i="12"/>
  <c r="AR142" i="12"/>
  <c r="AQ142" i="12"/>
  <c r="T142" i="12"/>
  <c r="S142" i="12"/>
  <c r="R142" i="12"/>
  <c r="Q142" i="12"/>
  <c r="P142" i="12"/>
  <c r="O142" i="12"/>
  <c r="J142" i="12"/>
  <c r="I142" i="12"/>
  <c r="G142" i="12"/>
  <c r="B142" i="12"/>
  <c r="BB141" i="12"/>
  <c r="BA141" i="12"/>
  <c r="AZ141" i="12"/>
  <c r="AY141" i="12"/>
  <c r="AX141" i="12"/>
  <c r="AW141" i="12"/>
  <c r="AS141" i="12"/>
  <c r="AR141" i="12"/>
  <c r="AQ141" i="12"/>
  <c r="T141" i="12"/>
  <c r="S141" i="12"/>
  <c r="R141" i="12"/>
  <c r="Q141" i="12"/>
  <c r="P141" i="12"/>
  <c r="O141" i="12"/>
  <c r="J141" i="12"/>
  <c r="I141" i="12"/>
  <c r="G141" i="12"/>
  <c r="B141" i="12"/>
  <c r="BB140" i="12"/>
  <c r="BA140" i="12"/>
  <c r="AZ140" i="12"/>
  <c r="AY140" i="12"/>
  <c r="AX140" i="12"/>
  <c r="AW140" i="12"/>
  <c r="AS140" i="12"/>
  <c r="AR140" i="12"/>
  <c r="AQ140" i="12"/>
  <c r="T140" i="12"/>
  <c r="S140" i="12"/>
  <c r="R140" i="12"/>
  <c r="Q140" i="12"/>
  <c r="P140" i="12"/>
  <c r="O140" i="12"/>
  <c r="J140" i="12"/>
  <c r="I140" i="12"/>
  <c r="G140" i="12"/>
  <c r="B140" i="12"/>
  <c r="BB139" i="12"/>
  <c r="BA139" i="12"/>
  <c r="AZ139" i="12"/>
  <c r="AY139" i="12"/>
  <c r="AX139" i="12"/>
  <c r="AW139" i="12"/>
  <c r="AS139" i="12"/>
  <c r="AR139" i="12"/>
  <c r="AU139" i="12"/>
  <c r="AQ139" i="12"/>
  <c r="T139" i="12"/>
  <c r="S139" i="12"/>
  <c r="R139" i="12"/>
  <c r="Q139" i="12"/>
  <c r="P139" i="12"/>
  <c r="O139" i="12"/>
  <c r="J139" i="12"/>
  <c r="I139" i="12"/>
  <c r="G139" i="12"/>
  <c r="B139" i="12"/>
  <c r="BB138" i="12"/>
  <c r="BA138" i="12"/>
  <c r="AZ138" i="12"/>
  <c r="AY138" i="12"/>
  <c r="AX138" i="12"/>
  <c r="AW138" i="12"/>
  <c r="AS138" i="12"/>
  <c r="AR138" i="12"/>
  <c r="AU138" i="12"/>
  <c r="AQ138" i="12"/>
  <c r="T138" i="12"/>
  <c r="S138" i="12"/>
  <c r="R138" i="12"/>
  <c r="Q138" i="12"/>
  <c r="P138" i="12"/>
  <c r="O138" i="12"/>
  <c r="J138" i="12"/>
  <c r="I138" i="12"/>
  <c r="G138" i="12"/>
  <c r="B138" i="12"/>
  <c r="BB137" i="12"/>
  <c r="BA137" i="12"/>
  <c r="AZ137" i="12"/>
  <c r="AY137" i="12"/>
  <c r="AX137" i="12"/>
  <c r="AW137" i="12"/>
  <c r="AS137" i="12"/>
  <c r="AR137" i="12"/>
  <c r="AQ137" i="12"/>
  <c r="T137" i="12"/>
  <c r="S137" i="12"/>
  <c r="R137" i="12"/>
  <c r="Q137" i="12"/>
  <c r="P137" i="12"/>
  <c r="O137" i="12"/>
  <c r="J137" i="12"/>
  <c r="I137" i="12"/>
  <c r="G137" i="12"/>
  <c r="B137" i="12"/>
  <c r="BB136" i="12"/>
  <c r="BA136" i="12"/>
  <c r="AZ136" i="12"/>
  <c r="AY136" i="12"/>
  <c r="AX136" i="12"/>
  <c r="AW136" i="12"/>
  <c r="AS136" i="12"/>
  <c r="AR136" i="12"/>
  <c r="AU136" i="12"/>
  <c r="AQ136" i="12"/>
  <c r="T136" i="12"/>
  <c r="S136" i="12"/>
  <c r="R136" i="12"/>
  <c r="Q136" i="12"/>
  <c r="P136" i="12"/>
  <c r="O136" i="12"/>
  <c r="J136" i="12"/>
  <c r="I136" i="12"/>
  <c r="G136" i="12"/>
  <c r="B136" i="12"/>
  <c r="BB135" i="12"/>
  <c r="BA135" i="12"/>
  <c r="AZ135" i="12"/>
  <c r="AY135" i="12"/>
  <c r="AX135" i="12"/>
  <c r="AW135" i="12"/>
  <c r="AS135" i="12"/>
  <c r="AR135" i="12"/>
  <c r="AU135" i="12"/>
  <c r="AQ135" i="12"/>
  <c r="T135" i="12"/>
  <c r="S135" i="12"/>
  <c r="R135" i="12"/>
  <c r="Q135" i="12"/>
  <c r="P135" i="12"/>
  <c r="O135" i="12"/>
  <c r="J135" i="12"/>
  <c r="I135" i="12"/>
  <c r="G135" i="12"/>
  <c r="B135" i="12"/>
  <c r="BB134" i="12"/>
  <c r="BA134" i="12"/>
  <c r="AZ134" i="12"/>
  <c r="AY134" i="12"/>
  <c r="AX134" i="12"/>
  <c r="AW134" i="12"/>
  <c r="AS134" i="12"/>
  <c r="AR134" i="12"/>
  <c r="AU134" i="12"/>
  <c r="AQ134" i="12"/>
  <c r="T134" i="12"/>
  <c r="S134" i="12"/>
  <c r="R134" i="12"/>
  <c r="Q134" i="12"/>
  <c r="P134" i="12"/>
  <c r="O134" i="12"/>
  <c r="J134" i="12"/>
  <c r="I134" i="12"/>
  <c r="G134" i="12"/>
  <c r="B134" i="12"/>
  <c r="BB133" i="12"/>
  <c r="BA133" i="12"/>
  <c r="AZ133" i="12"/>
  <c r="AY133" i="12"/>
  <c r="AX133" i="12"/>
  <c r="AW133" i="12"/>
  <c r="AS133" i="12"/>
  <c r="AR133" i="12"/>
  <c r="AU133" i="12"/>
  <c r="AQ133" i="12"/>
  <c r="T133" i="12"/>
  <c r="S133" i="12"/>
  <c r="R133" i="12"/>
  <c r="Q133" i="12"/>
  <c r="P133" i="12"/>
  <c r="O133" i="12"/>
  <c r="J133" i="12"/>
  <c r="I133" i="12"/>
  <c r="G133" i="12"/>
  <c r="B133" i="12"/>
  <c r="BB132" i="12"/>
  <c r="BA132" i="12"/>
  <c r="AZ132" i="12"/>
  <c r="AY132" i="12"/>
  <c r="AX132" i="12"/>
  <c r="AW132" i="12"/>
  <c r="AS132" i="12"/>
  <c r="AR132" i="12"/>
  <c r="AU132" i="12"/>
  <c r="AQ132" i="12"/>
  <c r="T132" i="12"/>
  <c r="S132" i="12"/>
  <c r="R132" i="12"/>
  <c r="Q132" i="12"/>
  <c r="P132" i="12"/>
  <c r="O132" i="12"/>
  <c r="J132" i="12"/>
  <c r="I132" i="12"/>
  <c r="G132" i="12"/>
  <c r="B132" i="12"/>
  <c r="BB131" i="12"/>
  <c r="BA131" i="12"/>
  <c r="AZ131" i="12"/>
  <c r="AY131" i="12"/>
  <c r="AX131" i="12"/>
  <c r="AW131" i="12"/>
  <c r="AS131" i="12"/>
  <c r="AR131" i="12"/>
  <c r="AQ131" i="12"/>
  <c r="T131" i="12"/>
  <c r="S131" i="12"/>
  <c r="R131" i="12"/>
  <c r="Q131" i="12"/>
  <c r="P131" i="12"/>
  <c r="O131" i="12"/>
  <c r="J131" i="12"/>
  <c r="I131" i="12"/>
  <c r="G131" i="12"/>
  <c r="B131" i="12"/>
  <c r="BB130" i="12"/>
  <c r="BA130" i="12"/>
  <c r="AZ130" i="12"/>
  <c r="AY130" i="12"/>
  <c r="AX130" i="12"/>
  <c r="AW130" i="12"/>
  <c r="AS130" i="12"/>
  <c r="AR130" i="12"/>
  <c r="AU130" i="12"/>
  <c r="AQ130" i="12"/>
  <c r="T130" i="12"/>
  <c r="S130" i="12"/>
  <c r="R130" i="12"/>
  <c r="Q130" i="12"/>
  <c r="P130" i="12"/>
  <c r="O130" i="12"/>
  <c r="J130" i="12"/>
  <c r="I130" i="12"/>
  <c r="G130" i="12"/>
  <c r="B130" i="12"/>
  <c r="BB129" i="12"/>
  <c r="BA129" i="12"/>
  <c r="AZ129" i="12"/>
  <c r="AY129" i="12"/>
  <c r="AX129" i="12"/>
  <c r="AW129" i="12"/>
  <c r="AS129" i="12"/>
  <c r="AR129" i="12"/>
  <c r="AU129" i="12"/>
  <c r="AQ129" i="12"/>
  <c r="T129" i="12"/>
  <c r="S129" i="12"/>
  <c r="R129" i="12"/>
  <c r="Q129" i="12"/>
  <c r="P129" i="12"/>
  <c r="O129" i="12"/>
  <c r="J129" i="12"/>
  <c r="I129" i="12"/>
  <c r="G129" i="12"/>
  <c r="B129" i="12"/>
  <c r="BB128" i="12"/>
  <c r="BA128" i="12"/>
  <c r="AZ128" i="12"/>
  <c r="AY128" i="12"/>
  <c r="AX128" i="12"/>
  <c r="AW128" i="12"/>
  <c r="AS128" i="12"/>
  <c r="AR128" i="12"/>
  <c r="AU128" i="12"/>
  <c r="AQ128" i="12"/>
  <c r="T128" i="12"/>
  <c r="S128" i="12"/>
  <c r="R128" i="12"/>
  <c r="Q128" i="12"/>
  <c r="P128" i="12"/>
  <c r="O128" i="12"/>
  <c r="J128" i="12"/>
  <c r="I128" i="12"/>
  <c r="G128" i="12"/>
  <c r="B128" i="12"/>
  <c r="BB127" i="12"/>
  <c r="BA127" i="12"/>
  <c r="AZ127" i="12"/>
  <c r="AY127" i="12"/>
  <c r="AX127" i="12"/>
  <c r="AW127" i="12"/>
  <c r="AS127" i="12"/>
  <c r="AR127" i="12"/>
  <c r="AQ127" i="12"/>
  <c r="T127" i="12"/>
  <c r="S127" i="12"/>
  <c r="R127" i="12"/>
  <c r="Q127" i="12"/>
  <c r="P127" i="12"/>
  <c r="O127" i="12"/>
  <c r="J127" i="12"/>
  <c r="I127" i="12"/>
  <c r="G127" i="12"/>
  <c r="B127" i="12"/>
  <c r="BB126" i="12"/>
  <c r="BA126" i="12"/>
  <c r="AZ126" i="12"/>
  <c r="AY126" i="12"/>
  <c r="AX126" i="12"/>
  <c r="AW126" i="12"/>
  <c r="AS126" i="12"/>
  <c r="AR126" i="12"/>
  <c r="AU126" i="12"/>
  <c r="AQ126" i="12"/>
  <c r="T126" i="12"/>
  <c r="S126" i="12"/>
  <c r="R126" i="12"/>
  <c r="Q126" i="12"/>
  <c r="P126" i="12"/>
  <c r="O126" i="12"/>
  <c r="J126" i="12"/>
  <c r="I126" i="12"/>
  <c r="G126" i="12"/>
  <c r="B126" i="12"/>
  <c r="BB125" i="12"/>
  <c r="BA125" i="12"/>
  <c r="AZ125" i="12"/>
  <c r="AY125" i="12"/>
  <c r="AX125" i="12"/>
  <c r="AW125" i="12"/>
  <c r="AS125" i="12"/>
  <c r="AR125" i="12"/>
  <c r="AU125" i="12"/>
  <c r="AQ125" i="12"/>
  <c r="T125" i="12"/>
  <c r="S125" i="12"/>
  <c r="R125" i="12"/>
  <c r="Q125" i="12"/>
  <c r="P125" i="12"/>
  <c r="O125" i="12"/>
  <c r="J125" i="12"/>
  <c r="I125" i="12"/>
  <c r="G125" i="12"/>
  <c r="B125" i="12"/>
  <c r="BB124" i="12"/>
  <c r="BA124" i="12"/>
  <c r="AZ124" i="12"/>
  <c r="AY124" i="12"/>
  <c r="AX124" i="12"/>
  <c r="AW124" i="12"/>
  <c r="AS124" i="12"/>
  <c r="AR124" i="12"/>
  <c r="AQ124" i="12"/>
  <c r="T124" i="12"/>
  <c r="S124" i="12"/>
  <c r="R124" i="12"/>
  <c r="Q124" i="12"/>
  <c r="P124" i="12"/>
  <c r="O124" i="12"/>
  <c r="J124" i="12"/>
  <c r="I124" i="12"/>
  <c r="G124" i="12"/>
  <c r="B124" i="12"/>
  <c r="BB123" i="12"/>
  <c r="BA123" i="12"/>
  <c r="AZ123" i="12"/>
  <c r="AY123" i="12"/>
  <c r="AX123" i="12"/>
  <c r="AW123" i="12"/>
  <c r="AS123" i="12"/>
  <c r="AR123" i="12"/>
  <c r="AU123" i="12"/>
  <c r="AQ123" i="12"/>
  <c r="T123" i="12"/>
  <c r="S123" i="12"/>
  <c r="R123" i="12"/>
  <c r="Q123" i="12"/>
  <c r="P123" i="12"/>
  <c r="O123" i="12"/>
  <c r="J123" i="12"/>
  <c r="I123" i="12"/>
  <c r="G123" i="12"/>
  <c r="B123" i="12"/>
  <c r="BB122" i="12"/>
  <c r="BA122" i="12"/>
  <c r="AZ122" i="12"/>
  <c r="AY122" i="12"/>
  <c r="AX122" i="12"/>
  <c r="AW122" i="12"/>
  <c r="AS122" i="12"/>
  <c r="AR122" i="12"/>
  <c r="AQ122" i="12"/>
  <c r="T122" i="12"/>
  <c r="S122" i="12"/>
  <c r="R122" i="12"/>
  <c r="Q122" i="12"/>
  <c r="P122" i="12"/>
  <c r="O122" i="12"/>
  <c r="J122" i="12"/>
  <c r="I122" i="12"/>
  <c r="G122" i="12"/>
  <c r="B122" i="12"/>
  <c r="BB121" i="12"/>
  <c r="BA121" i="12"/>
  <c r="AZ121" i="12"/>
  <c r="AY121" i="12"/>
  <c r="AX121" i="12"/>
  <c r="AW121" i="12"/>
  <c r="AS121" i="12"/>
  <c r="AR121" i="12"/>
  <c r="AU121" i="12"/>
  <c r="AQ121" i="12"/>
  <c r="T121" i="12"/>
  <c r="S121" i="12"/>
  <c r="R121" i="12"/>
  <c r="Q121" i="12"/>
  <c r="P121" i="12"/>
  <c r="O121" i="12"/>
  <c r="J121" i="12"/>
  <c r="I121" i="12"/>
  <c r="G121" i="12"/>
  <c r="B121" i="12"/>
  <c r="BB120" i="12"/>
  <c r="BA120" i="12"/>
  <c r="AZ120" i="12"/>
  <c r="AY120" i="12"/>
  <c r="AX120" i="12"/>
  <c r="AW120" i="12"/>
  <c r="AS120" i="12"/>
  <c r="AR120" i="12"/>
  <c r="AQ120" i="12"/>
  <c r="T120" i="12"/>
  <c r="S120" i="12"/>
  <c r="R120" i="12"/>
  <c r="Q120" i="12"/>
  <c r="P120" i="12"/>
  <c r="O120" i="12"/>
  <c r="J120" i="12"/>
  <c r="I120" i="12"/>
  <c r="G120" i="12"/>
  <c r="B120" i="12"/>
  <c r="BB119" i="12"/>
  <c r="BA119" i="12"/>
  <c r="AZ119" i="12"/>
  <c r="AY119" i="12"/>
  <c r="AX119" i="12"/>
  <c r="AW119" i="12"/>
  <c r="AS119" i="12"/>
  <c r="AR119" i="12"/>
  <c r="AU119" i="12"/>
  <c r="AQ119" i="12"/>
  <c r="T119" i="12"/>
  <c r="S119" i="12"/>
  <c r="R119" i="12"/>
  <c r="Q119" i="12"/>
  <c r="P119" i="12"/>
  <c r="O119" i="12"/>
  <c r="J119" i="12"/>
  <c r="I119" i="12"/>
  <c r="G119" i="12"/>
  <c r="B119" i="12"/>
  <c r="BB118" i="12"/>
  <c r="BA118" i="12"/>
  <c r="AZ118" i="12"/>
  <c r="AY118" i="12"/>
  <c r="AX118" i="12"/>
  <c r="AW118" i="12"/>
  <c r="AS118" i="12"/>
  <c r="AR118" i="12"/>
  <c r="AQ118" i="12"/>
  <c r="T118" i="12"/>
  <c r="S118" i="12"/>
  <c r="R118" i="12"/>
  <c r="Q118" i="12"/>
  <c r="P118" i="12"/>
  <c r="O118" i="12"/>
  <c r="J118" i="12"/>
  <c r="I118" i="12"/>
  <c r="G118" i="12"/>
  <c r="B118" i="12"/>
  <c r="BB117" i="12"/>
  <c r="BA117" i="12"/>
  <c r="AZ117" i="12"/>
  <c r="AY117" i="12"/>
  <c r="AX117" i="12"/>
  <c r="AW117" i="12"/>
  <c r="AS117" i="12"/>
  <c r="AR117" i="12"/>
  <c r="AU117" i="12"/>
  <c r="AQ117" i="12"/>
  <c r="T117" i="12"/>
  <c r="S117" i="12"/>
  <c r="R117" i="12"/>
  <c r="Q117" i="12"/>
  <c r="P117" i="12"/>
  <c r="O117" i="12"/>
  <c r="J117" i="12"/>
  <c r="I117" i="12"/>
  <c r="G117" i="12"/>
  <c r="B117" i="12"/>
  <c r="BB116" i="12"/>
  <c r="BA116" i="12"/>
  <c r="AZ116" i="12"/>
  <c r="AY116" i="12"/>
  <c r="AX116" i="12"/>
  <c r="AW116" i="12"/>
  <c r="AS116" i="12"/>
  <c r="AR116" i="12"/>
  <c r="AQ116" i="12"/>
  <c r="T116" i="12"/>
  <c r="S116" i="12"/>
  <c r="R116" i="12"/>
  <c r="Q116" i="12"/>
  <c r="P116" i="12"/>
  <c r="O116" i="12"/>
  <c r="J116" i="12"/>
  <c r="I116" i="12"/>
  <c r="G116" i="12"/>
  <c r="B116" i="12"/>
  <c r="BB115" i="12"/>
  <c r="BA115" i="12"/>
  <c r="AZ115" i="12"/>
  <c r="AY115" i="12"/>
  <c r="AX115" i="12"/>
  <c r="AW115" i="12"/>
  <c r="AS115" i="12"/>
  <c r="AR115" i="12"/>
  <c r="AU115" i="12"/>
  <c r="AQ115" i="12"/>
  <c r="T115" i="12"/>
  <c r="S115" i="12"/>
  <c r="R115" i="12"/>
  <c r="Q115" i="12"/>
  <c r="P115" i="12"/>
  <c r="O115" i="12"/>
  <c r="J115" i="12"/>
  <c r="I115" i="12"/>
  <c r="G115" i="12"/>
  <c r="B115" i="12"/>
  <c r="BB114" i="12"/>
  <c r="BA114" i="12"/>
  <c r="AZ114" i="12"/>
  <c r="AY114" i="12"/>
  <c r="AX114" i="12"/>
  <c r="AW114" i="12"/>
  <c r="AS114" i="12"/>
  <c r="AR114" i="12"/>
  <c r="AU114" i="12"/>
  <c r="AQ114" i="12"/>
  <c r="T114" i="12"/>
  <c r="S114" i="12"/>
  <c r="R114" i="12"/>
  <c r="Q114" i="12"/>
  <c r="P114" i="12"/>
  <c r="O114" i="12"/>
  <c r="J114" i="12"/>
  <c r="I114" i="12"/>
  <c r="G114" i="12"/>
  <c r="B114" i="12"/>
  <c r="BB113" i="12"/>
  <c r="BA113" i="12"/>
  <c r="AZ113" i="12"/>
  <c r="AY113" i="12"/>
  <c r="AX113" i="12"/>
  <c r="AW113" i="12"/>
  <c r="AS113" i="12"/>
  <c r="AR113" i="12"/>
  <c r="AU113" i="12"/>
  <c r="AQ113" i="12"/>
  <c r="T113" i="12"/>
  <c r="S113" i="12"/>
  <c r="R113" i="12"/>
  <c r="Q113" i="12"/>
  <c r="P113" i="12"/>
  <c r="O113" i="12"/>
  <c r="J113" i="12"/>
  <c r="I113" i="12"/>
  <c r="G113" i="12"/>
  <c r="B113" i="12"/>
  <c r="BB112" i="12"/>
  <c r="BA112" i="12"/>
  <c r="AZ112" i="12"/>
  <c r="AY112" i="12"/>
  <c r="AX112" i="12"/>
  <c r="AW112" i="12"/>
  <c r="AS112" i="12"/>
  <c r="AR112" i="12"/>
  <c r="AQ112" i="12"/>
  <c r="T112" i="12"/>
  <c r="S112" i="12"/>
  <c r="R112" i="12"/>
  <c r="Q112" i="12"/>
  <c r="P112" i="12"/>
  <c r="O112" i="12"/>
  <c r="J112" i="12"/>
  <c r="I112" i="12"/>
  <c r="G112" i="12"/>
  <c r="B112" i="12"/>
  <c r="BB111" i="12"/>
  <c r="BA111" i="12"/>
  <c r="AZ111" i="12"/>
  <c r="AY111" i="12"/>
  <c r="AX111" i="12"/>
  <c r="AW111" i="12"/>
  <c r="AS111" i="12"/>
  <c r="AR111" i="12"/>
  <c r="AQ111" i="12"/>
  <c r="T111" i="12"/>
  <c r="S111" i="12"/>
  <c r="R111" i="12"/>
  <c r="Q111" i="12"/>
  <c r="P111" i="12"/>
  <c r="O111" i="12"/>
  <c r="J111" i="12"/>
  <c r="I111" i="12"/>
  <c r="G111" i="12"/>
  <c r="B111" i="12"/>
  <c r="BB110" i="12"/>
  <c r="BA110" i="12"/>
  <c r="AZ110" i="12"/>
  <c r="AY110" i="12"/>
  <c r="AX110" i="12"/>
  <c r="AW110" i="12"/>
  <c r="AS110" i="12"/>
  <c r="AR110" i="12"/>
  <c r="AU110" i="12"/>
  <c r="AQ110" i="12"/>
  <c r="T110" i="12"/>
  <c r="S110" i="12"/>
  <c r="R110" i="12"/>
  <c r="Q110" i="12"/>
  <c r="P110" i="12"/>
  <c r="O110" i="12"/>
  <c r="J110" i="12"/>
  <c r="I110" i="12"/>
  <c r="G110" i="12"/>
  <c r="B110" i="12"/>
  <c r="BB109" i="12"/>
  <c r="BA109" i="12"/>
  <c r="AZ109" i="12"/>
  <c r="AY109" i="12"/>
  <c r="AX109" i="12"/>
  <c r="AW109" i="12"/>
  <c r="AS109" i="12"/>
  <c r="AR109" i="12"/>
  <c r="AU109" i="12"/>
  <c r="AQ109" i="12"/>
  <c r="T109" i="12"/>
  <c r="S109" i="12"/>
  <c r="R109" i="12"/>
  <c r="Q109" i="12"/>
  <c r="P109" i="12"/>
  <c r="O109" i="12"/>
  <c r="J109" i="12"/>
  <c r="I109" i="12"/>
  <c r="G109" i="12"/>
  <c r="B109" i="12"/>
  <c r="BB108" i="12"/>
  <c r="BA108" i="12"/>
  <c r="AZ108" i="12"/>
  <c r="AY108" i="12"/>
  <c r="AX108" i="12"/>
  <c r="AW108" i="12"/>
  <c r="AS108" i="12"/>
  <c r="AR108" i="12"/>
  <c r="AQ108" i="12"/>
  <c r="T108" i="12"/>
  <c r="S108" i="12"/>
  <c r="R108" i="12"/>
  <c r="Q108" i="12"/>
  <c r="P108" i="12"/>
  <c r="O108" i="12"/>
  <c r="J108" i="12"/>
  <c r="I108" i="12"/>
  <c r="G108" i="12"/>
  <c r="B108" i="12"/>
  <c r="BB107" i="12"/>
  <c r="BA107" i="12"/>
  <c r="AZ107" i="12"/>
  <c r="AY107" i="12"/>
  <c r="AX107" i="12"/>
  <c r="AW107" i="12"/>
  <c r="AS107" i="12"/>
  <c r="AR107" i="12"/>
  <c r="AQ107" i="12"/>
  <c r="T107" i="12"/>
  <c r="S107" i="12"/>
  <c r="R107" i="12"/>
  <c r="Q107" i="12"/>
  <c r="P107" i="12"/>
  <c r="O107" i="12"/>
  <c r="J107" i="12"/>
  <c r="I107" i="12"/>
  <c r="G107" i="12"/>
  <c r="B107" i="12"/>
  <c r="BB106" i="12"/>
  <c r="BA106" i="12"/>
  <c r="AZ106" i="12"/>
  <c r="AY106" i="12"/>
  <c r="AX106" i="12"/>
  <c r="AW106" i="12"/>
  <c r="AS106" i="12"/>
  <c r="AR106" i="12"/>
  <c r="AU106" i="12"/>
  <c r="AQ106" i="12"/>
  <c r="T106" i="12"/>
  <c r="S106" i="12"/>
  <c r="R106" i="12"/>
  <c r="Q106" i="12"/>
  <c r="P106" i="12"/>
  <c r="O106" i="12"/>
  <c r="J106" i="12"/>
  <c r="I106" i="12"/>
  <c r="G106" i="12"/>
  <c r="B106" i="12"/>
  <c r="BB105" i="12"/>
  <c r="BA105" i="12"/>
  <c r="AZ105" i="12"/>
  <c r="AY105" i="12"/>
  <c r="AX105" i="12"/>
  <c r="AW105" i="12"/>
  <c r="AS105" i="12"/>
  <c r="AR105" i="12"/>
  <c r="AQ105" i="12"/>
  <c r="T105" i="12"/>
  <c r="S105" i="12"/>
  <c r="R105" i="12"/>
  <c r="Q105" i="12"/>
  <c r="P105" i="12"/>
  <c r="O105" i="12"/>
  <c r="J105" i="12"/>
  <c r="I105" i="12"/>
  <c r="G105" i="12"/>
  <c r="B105" i="12"/>
  <c r="BB104" i="12"/>
  <c r="BA104" i="12"/>
  <c r="AZ104" i="12"/>
  <c r="AY104" i="12"/>
  <c r="AX104" i="12"/>
  <c r="AW104" i="12"/>
  <c r="AS104" i="12"/>
  <c r="AR104" i="12"/>
  <c r="AQ104" i="12"/>
  <c r="T104" i="12"/>
  <c r="S104" i="12"/>
  <c r="R104" i="12"/>
  <c r="Q104" i="12"/>
  <c r="P104" i="12"/>
  <c r="O104" i="12"/>
  <c r="J104" i="12"/>
  <c r="I104" i="12"/>
  <c r="G104" i="12"/>
  <c r="B104" i="12"/>
  <c r="BB103" i="12"/>
  <c r="BA103" i="12"/>
  <c r="AZ103" i="12"/>
  <c r="AY103" i="12"/>
  <c r="AX103" i="12"/>
  <c r="AW103" i="12"/>
  <c r="AS103" i="12"/>
  <c r="AR103" i="12"/>
  <c r="AU103" i="12"/>
  <c r="AQ103" i="12"/>
  <c r="T103" i="12"/>
  <c r="S103" i="12"/>
  <c r="R103" i="12"/>
  <c r="Q103" i="12"/>
  <c r="P103" i="12"/>
  <c r="O103" i="12"/>
  <c r="J103" i="12"/>
  <c r="I103" i="12"/>
  <c r="G103" i="12"/>
  <c r="B103" i="12"/>
  <c r="BB102" i="12"/>
  <c r="BA102" i="12"/>
  <c r="AZ102" i="12"/>
  <c r="AY102" i="12"/>
  <c r="AX102" i="12"/>
  <c r="AW102" i="12"/>
  <c r="AS102" i="12"/>
  <c r="AR102" i="12"/>
  <c r="AU102" i="12"/>
  <c r="AQ102" i="12"/>
  <c r="T102" i="12"/>
  <c r="S102" i="12"/>
  <c r="R102" i="12"/>
  <c r="Q102" i="12"/>
  <c r="P102" i="12"/>
  <c r="O102" i="12"/>
  <c r="J102" i="12"/>
  <c r="I102" i="12"/>
  <c r="G102" i="12"/>
  <c r="B102" i="12"/>
  <c r="BB101" i="12"/>
  <c r="BA101" i="12"/>
  <c r="AZ101" i="12"/>
  <c r="AY101" i="12"/>
  <c r="AX101" i="12"/>
  <c r="AW101" i="12"/>
  <c r="AS101" i="12"/>
  <c r="AR101" i="12"/>
  <c r="AQ101" i="12"/>
  <c r="T101" i="12"/>
  <c r="S101" i="12"/>
  <c r="R101" i="12"/>
  <c r="Q101" i="12"/>
  <c r="P101" i="12"/>
  <c r="O101" i="12"/>
  <c r="J101" i="12"/>
  <c r="I101" i="12"/>
  <c r="G101" i="12"/>
  <c r="B101" i="12"/>
  <c r="BB100" i="12"/>
  <c r="BA100" i="12"/>
  <c r="AZ100" i="12"/>
  <c r="AY100" i="12"/>
  <c r="AX100" i="12"/>
  <c r="AW100" i="12"/>
  <c r="AS100" i="12"/>
  <c r="AR100" i="12"/>
  <c r="AQ100" i="12"/>
  <c r="T100" i="12"/>
  <c r="S100" i="12"/>
  <c r="R100" i="12"/>
  <c r="Q100" i="12"/>
  <c r="P100" i="12"/>
  <c r="O100" i="12"/>
  <c r="J100" i="12"/>
  <c r="I100" i="12"/>
  <c r="G100" i="12"/>
  <c r="B100" i="12"/>
  <c r="BB99" i="12"/>
  <c r="BA99" i="12"/>
  <c r="AZ99" i="12"/>
  <c r="AY99" i="12"/>
  <c r="AX99" i="12"/>
  <c r="AW99" i="12"/>
  <c r="AS99" i="12"/>
  <c r="AR99" i="12"/>
  <c r="AQ99" i="12"/>
  <c r="T99" i="12"/>
  <c r="S99" i="12"/>
  <c r="R99" i="12"/>
  <c r="Q99" i="12"/>
  <c r="P99" i="12"/>
  <c r="O99" i="12"/>
  <c r="J99" i="12"/>
  <c r="I99" i="12"/>
  <c r="G99" i="12"/>
  <c r="B99" i="12"/>
  <c r="BB98" i="12"/>
  <c r="BA98" i="12"/>
  <c r="AZ98" i="12"/>
  <c r="AY98" i="12"/>
  <c r="AX98" i="12"/>
  <c r="AW98" i="12"/>
  <c r="AS98" i="12"/>
  <c r="AR98" i="12"/>
  <c r="AU98" i="12"/>
  <c r="AQ98" i="12"/>
  <c r="T98" i="12"/>
  <c r="S98" i="12"/>
  <c r="R98" i="12"/>
  <c r="Q98" i="12"/>
  <c r="P98" i="12"/>
  <c r="O98" i="12"/>
  <c r="J98" i="12"/>
  <c r="I98" i="12"/>
  <c r="G98" i="12"/>
  <c r="B98" i="12"/>
  <c r="BB97" i="12"/>
  <c r="BA97" i="12"/>
  <c r="AZ97" i="12"/>
  <c r="AY97" i="12"/>
  <c r="AX97" i="12"/>
  <c r="AW97" i="12"/>
  <c r="AS97" i="12"/>
  <c r="AR97" i="12"/>
  <c r="AU97" i="12"/>
  <c r="AQ97" i="12"/>
  <c r="T97" i="12"/>
  <c r="S97" i="12"/>
  <c r="R97" i="12"/>
  <c r="Q97" i="12"/>
  <c r="P97" i="12"/>
  <c r="O97" i="12"/>
  <c r="J97" i="12"/>
  <c r="I97" i="12"/>
  <c r="G97" i="12"/>
  <c r="B97" i="12"/>
  <c r="BB96" i="12"/>
  <c r="BA96" i="12"/>
  <c r="AZ96" i="12"/>
  <c r="AY96" i="12"/>
  <c r="AX96" i="12"/>
  <c r="AW96" i="12"/>
  <c r="AS96" i="12"/>
  <c r="AR96" i="12"/>
  <c r="AU96" i="12"/>
  <c r="AQ96" i="12"/>
  <c r="T96" i="12"/>
  <c r="S96" i="12"/>
  <c r="R96" i="12"/>
  <c r="Q96" i="12"/>
  <c r="P96" i="12"/>
  <c r="O96" i="12"/>
  <c r="J96" i="12"/>
  <c r="I96" i="12"/>
  <c r="G96" i="12"/>
  <c r="B96" i="12"/>
  <c r="BB95" i="12"/>
  <c r="BA95" i="12"/>
  <c r="AZ95" i="12"/>
  <c r="AY95" i="12"/>
  <c r="AX95" i="12"/>
  <c r="AW95" i="12"/>
  <c r="AS95" i="12"/>
  <c r="AR95" i="12"/>
  <c r="AU95" i="12"/>
  <c r="AQ95" i="12"/>
  <c r="T95" i="12"/>
  <c r="S95" i="12"/>
  <c r="R95" i="12"/>
  <c r="Q95" i="12"/>
  <c r="P95" i="12"/>
  <c r="O95" i="12"/>
  <c r="J95" i="12"/>
  <c r="I95" i="12"/>
  <c r="G95" i="12"/>
  <c r="B95" i="12"/>
  <c r="BB94" i="12"/>
  <c r="BA94" i="12"/>
  <c r="AZ94" i="12"/>
  <c r="AY94" i="12"/>
  <c r="AX94" i="12"/>
  <c r="AW94" i="12"/>
  <c r="AS94" i="12"/>
  <c r="AR94" i="12"/>
  <c r="AU94" i="12"/>
  <c r="AQ94" i="12"/>
  <c r="T94" i="12"/>
  <c r="S94" i="12"/>
  <c r="R94" i="12"/>
  <c r="Q94" i="12"/>
  <c r="P94" i="12"/>
  <c r="O94" i="12"/>
  <c r="J94" i="12"/>
  <c r="I94" i="12"/>
  <c r="G94" i="12"/>
  <c r="B94" i="12"/>
  <c r="BB93" i="12"/>
  <c r="BA93" i="12"/>
  <c r="AZ93" i="12"/>
  <c r="AY93" i="12"/>
  <c r="AX93" i="12"/>
  <c r="AW93" i="12"/>
  <c r="AS93" i="12"/>
  <c r="AR93" i="12"/>
  <c r="AU93" i="12"/>
  <c r="AQ93" i="12"/>
  <c r="T93" i="12"/>
  <c r="S93" i="12"/>
  <c r="R93" i="12"/>
  <c r="Q93" i="12"/>
  <c r="P93" i="12"/>
  <c r="O93" i="12"/>
  <c r="J93" i="12"/>
  <c r="I93" i="12"/>
  <c r="G93" i="12"/>
  <c r="B93" i="12"/>
  <c r="BB92" i="12"/>
  <c r="BA92" i="12"/>
  <c r="AZ92" i="12"/>
  <c r="AY92" i="12"/>
  <c r="AX92" i="12"/>
  <c r="AW92" i="12"/>
  <c r="AS92" i="12"/>
  <c r="AR92" i="12"/>
  <c r="AQ92" i="12"/>
  <c r="T92" i="12"/>
  <c r="S92" i="12"/>
  <c r="R92" i="12"/>
  <c r="Q92" i="12"/>
  <c r="P92" i="12"/>
  <c r="O92" i="12"/>
  <c r="J92" i="12"/>
  <c r="I92" i="12"/>
  <c r="G92" i="12"/>
  <c r="B92" i="12"/>
  <c r="BB91" i="12"/>
  <c r="BA91" i="12"/>
  <c r="AZ91" i="12"/>
  <c r="AY91" i="12"/>
  <c r="AX91" i="12"/>
  <c r="AW91" i="12"/>
  <c r="AS91" i="12"/>
  <c r="AR91" i="12"/>
  <c r="AU91" i="12"/>
  <c r="AQ91" i="12"/>
  <c r="T91" i="12"/>
  <c r="S91" i="12"/>
  <c r="R91" i="12"/>
  <c r="Q91" i="12"/>
  <c r="P91" i="12"/>
  <c r="O91" i="12"/>
  <c r="J91" i="12"/>
  <c r="I91" i="12"/>
  <c r="G91" i="12"/>
  <c r="B91" i="12"/>
  <c r="BB90" i="12"/>
  <c r="BA90" i="12"/>
  <c r="AZ90" i="12"/>
  <c r="AY90" i="12"/>
  <c r="AX90" i="12"/>
  <c r="AW90" i="12"/>
  <c r="AS90" i="12"/>
  <c r="AR90" i="12"/>
  <c r="AU90" i="12"/>
  <c r="AQ90" i="12"/>
  <c r="T90" i="12"/>
  <c r="S90" i="12"/>
  <c r="R90" i="12"/>
  <c r="Q90" i="12"/>
  <c r="P90" i="12"/>
  <c r="O90" i="12"/>
  <c r="J90" i="12"/>
  <c r="I90" i="12"/>
  <c r="G90" i="12"/>
  <c r="B90" i="12"/>
  <c r="BB89" i="12"/>
  <c r="BA89" i="12"/>
  <c r="AZ89" i="12"/>
  <c r="AY89" i="12"/>
  <c r="AX89" i="12"/>
  <c r="AW89" i="12"/>
  <c r="AS89" i="12"/>
  <c r="AR89" i="12"/>
  <c r="AU89" i="12"/>
  <c r="AQ89" i="12"/>
  <c r="T89" i="12"/>
  <c r="S89" i="12"/>
  <c r="R89" i="12"/>
  <c r="Q89" i="12"/>
  <c r="P89" i="12"/>
  <c r="O89" i="12"/>
  <c r="J89" i="12"/>
  <c r="I89" i="12"/>
  <c r="G89" i="12"/>
  <c r="B89" i="12"/>
  <c r="BB88" i="12"/>
  <c r="BA88" i="12"/>
  <c r="AZ88" i="12"/>
  <c r="AY88" i="12"/>
  <c r="AX88" i="12"/>
  <c r="AW88" i="12"/>
  <c r="AS88" i="12"/>
  <c r="AR88" i="12"/>
  <c r="AU88" i="12"/>
  <c r="AQ88" i="12"/>
  <c r="T88" i="12"/>
  <c r="S88" i="12"/>
  <c r="R88" i="12"/>
  <c r="Q88" i="12"/>
  <c r="P88" i="12"/>
  <c r="O88" i="12"/>
  <c r="J88" i="12"/>
  <c r="I88" i="12"/>
  <c r="G88" i="12"/>
  <c r="B88" i="12"/>
  <c r="BB87" i="12"/>
  <c r="BA87" i="12"/>
  <c r="AZ87" i="12"/>
  <c r="AY87" i="12"/>
  <c r="AX87" i="12"/>
  <c r="AW87" i="12"/>
  <c r="AS87" i="12"/>
  <c r="AR87" i="12"/>
  <c r="AQ87" i="12"/>
  <c r="T87" i="12"/>
  <c r="S87" i="12"/>
  <c r="R87" i="12"/>
  <c r="Q87" i="12"/>
  <c r="P87" i="12"/>
  <c r="O87" i="12"/>
  <c r="J87" i="12"/>
  <c r="I87" i="12"/>
  <c r="G87" i="12"/>
  <c r="B87" i="12"/>
  <c r="BB86" i="12"/>
  <c r="BA86" i="12"/>
  <c r="AZ86" i="12"/>
  <c r="AY86" i="12"/>
  <c r="AX86" i="12"/>
  <c r="AW86" i="12"/>
  <c r="AS86" i="12"/>
  <c r="AR86" i="12"/>
  <c r="AQ86" i="12"/>
  <c r="T86" i="12"/>
  <c r="S86" i="12"/>
  <c r="R86" i="12"/>
  <c r="Q86" i="12"/>
  <c r="P86" i="12"/>
  <c r="O86" i="12"/>
  <c r="J86" i="12"/>
  <c r="I86" i="12"/>
  <c r="G86" i="12"/>
  <c r="B86" i="12"/>
  <c r="BB85" i="12"/>
  <c r="BA85" i="12"/>
  <c r="AZ85" i="12"/>
  <c r="AY85" i="12"/>
  <c r="AX85" i="12"/>
  <c r="AW85" i="12"/>
  <c r="AS85" i="12"/>
  <c r="AR85" i="12"/>
  <c r="AU85" i="12"/>
  <c r="AQ85" i="12"/>
  <c r="T85" i="12"/>
  <c r="S85" i="12"/>
  <c r="R85" i="12"/>
  <c r="Q85" i="12"/>
  <c r="P85" i="12"/>
  <c r="O85" i="12"/>
  <c r="J85" i="12"/>
  <c r="I85" i="12"/>
  <c r="G85" i="12"/>
  <c r="B85" i="12"/>
  <c r="BB84" i="12"/>
  <c r="BA84" i="12"/>
  <c r="AZ84" i="12"/>
  <c r="AY84" i="12"/>
  <c r="AX84" i="12"/>
  <c r="AW84" i="12"/>
  <c r="AS84" i="12"/>
  <c r="AR84" i="12"/>
  <c r="AU84" i="12"/>
  <c r="AQ84" i="12"/>
  <c r="T84" i="12"/>
  <c r="S84" i="12"/>
  <c r="R84" i="12"/>
  <c r="Q84" i="12"/>
  <c r="P84" i="12"/>
  <c r="O84" i="12"/>
  <c r="J84" i="12"/>
  <c r="I84" i="12"/>
  <c r="G84" i="12"/>
  <c r="B84" i="12"/>
  <c r="BB83" i="12"/>
  <c r="BA83" i="12"/>
  <c r="AZ83" i="12"/>
  <c r="AY83" i="12"/>
  <c r="AX83" i="12"/>
  <c r="AW83" i="12"/>
  <c r="AS83" i="12"/>
  <c r="AR83" i="12"/>
  <c r="AQ83" i="12"/>
  <c r="T83" i="12"/>
  <c r="S83" i="12"/>
  <c r="R83" i="12"/>
  <c r="Q83" i="12"/>
  <c r="P83" i="12"/>
  <c r="O83" i="12"/>
  <c r="J83" i="12"/>
  <c r="I83" i="12"/>
  <c r="G83" i="12"/>
  <c r="B83" i="12"/>
  <c r="BB82" i="12"/>
  <c r="BA82" i="12"/>
  <c r="AZ82" i="12"/>
  <c r="AY82" i="12"/>
  <c r="AX82" i="12"/>
  <c r="AW82" i="12"/>
  <c r="AS82" i="12"/>
  <c r="AR82" i="12"/>
  <c r="AU82" i="12"/>
  <c r="AQ82" i="12"/>
  <c r="T82" i="12"/>
  <c r="S82" i="12"/>
  <c r="R82" i="12"/>
  <c r="Q82" i="12"/>
  <c r="P82" i="12"/>
  <c r="O82" i="12"/>
  <c r="J82" i="12"/>
  <c r="I82" i="12"/>
  <c r="G82" i="12"/>
  <c r="B82" i="12"/>
  <c r="BB81" i="12"/>
  <c r="BA81" i="12"/>
  <c r="AZ81" i="12"/>
  <c r="AY81" i="12"/>
  <c r="AX81" i="12"/>
  <c r="AW81" i="12"/>
  <c r="AS81" i="12"/>
  <c r="AR81" i="12"/>
  <c r="AU81" i="12"/>
  <c r="AQ81" i="12"/>
  <c r="T81" i="12"/>
  <c r="S81" i="12"/>
  <c r="R81" i="12"/>
  <c r="Q81" i="12"/>
  <c r="P81" i="12"/>
  <c r="O81" i="12"/>
  <c r="J81" i="12"/>
  <c r="I81" i="12"/>
  <c r="G81" i="12"/>
  <c r="B81" i="12"/>
  <c r="BB80" i="12"/>
  <c r="BA80" i="12"/>
  <c r="AZ80" i="12"/>
  <c r="AY80" i="12"/>
  <c r="AX80" i="12"/>
  <c r="AW80" i="12"/>
  <c r="AS80" i="12"/>
  <c r="AR80" i="12"/>
  <c r="AQ80" i="12"/>
  <c r="T80" i="12"/>
  <c r="S80" i="12"/>
  <c r="R80" i="12"/>
  <c r="Q80" i="12"/>
  <c r="P80" i="12"/>
  <c r="O80" i="12"/>
  <c r="J80" i="12"/>
  <c r="I80" i="12"/>
  <c r="G80" i="12"/>
  <c r="B80" i="12"/>
  <c r="BB79" i="12"/>
  <c r="BA79" i="12"/>
  <c r="AZ79" i="12"/>
  <c r="AY79" i="12"/>
  <c r="AX79" i="12"/>
  <c r="AW79" i="12"/>
  <c r="AS79" i="12"/>
  <c r="AR79" i="12"/>
  <c r="AU79" i="12"/>
  <c r="AQ79" i="12"/>
  <c r="T79" i="12"/>
  <c r="S79" i="12"/>
  <c r="R79" i="12"/>
  <c r="Q79" i="12"/>
  <c r="P79" i="12"/>
  <c r="O79" i="12"/>
  <c r="J79" i="12"/>
  <c r="I79" i="12"/>
  <c r="G79" i="12"/>
  <c r="B79" i="12"/>
  <c r="BB78" i="12"/>
  <c r="BA78" i="12"/>
  <c r="AZ78" i="12"/>
  <c r="AY78" i="12"/>
  <c r="AX78" i="12"/>
  <c r="AW78" i="12"/>
  <c r="AS78" i="12"/>
  <c r="AR78" i="12"/>
  <c r="AU78" i="12"/>
  <c r="AQ78" i="12"/>
  <c r="T78" i="12"/>
  <c r="S78" i="12"/>
  <c r="R78" i="12"/>
  <c r="Q78" i="12"/>
  <c r="P78" i="12"/>
  <c r="O78" i="12"/>
  <c r="J78" i="12"/>
  <c r="I78" i="12"/>
  <c r="G78" i="12"/>
  <c r="B78" i="12"/>
  <c r="BB77" i="12"/>
  <c r="BA77" i="12"/>
  <c r="AZ77" i="12"/>
  <c r="AY77" i="12"/>
  <c r="AX77" i="12"/>
  <c r="AW77" i="12"/>
  <c r="AS77" i="12"/>
  <c r="AR77" i="12"/>
  <c r="AQ77" i="12"/>
  <c r="T77" i="12"/>
  <c r="S77" i="12"/>
  <c r="R77" i="12"/>
  <c r="Q77" i="12"/>
  <c r="P77" i="12"/>
  <c r="O77" i="12"/>
  <c r="J77" i="12"/>
  <c r="I77" i="12"/>
  <c r="G77" i="12"/>
  <c r="B77" i="12"/>
  <c r="BB76" i="12"/>
  <c r="BA76" i="12"/>
  <c r="AZ76" i="12"/>
  <c r="AY76" i="12"/>
  <c r="AX76" i="12"/>
  <c r="AW76" i="12"/>
  <c r="AS76" i="12"/>
  <c r="AR76" i="12"/>
  <c r="AQ76" i="12"/>
  <c r="T76" i="12"/>
  <c r="S76" i="12"/>
  <c r="R76" i="12"/>
  <c r="Q76" i="12"/>
  <c r="P76" i="12"/>
  <c r="O76" i="12"/>
  <c r="J76" i="12"/>
  <c r="I76" i="12"/>
  <c r="G76" i="12"/>
  <c r="B76" i="12"/>
  <c r="BB75" i="12"/>
  <c r="BA75" i="12"/>
  <c r="AZ75" i="12"/>
  <c r="AY75" i="12"/>
  <c r="AX75" i="12"/>
  <c r="AW75" i="12"/>
  <c r="AS75" i="12"/>
  <c r="AR75" i="12"/>
  <c r="AU75" i="12"/>
  <c r="AQ75" i="12"/>
  <c r="T75" i="12"/>
  <c r="S75" i="12"/>
  <c r="R75" i="12"/>
  <c r="Q75" i="12"/>
  <c r="P75" i="12"/>
  <c r="O75" i="12"/>
  <c r="J75" i="12"/>
  <c r="I75" i="12"/>
  <c r="G75" i="12"/>
  <c r="B75" i="12"/>
  <c r="BB74" i="12"/>
  <c r="BA74" i="12"/>
  <c r="AZ74" i="12"/>
  <c r="AY74" i="12"/>
  <c r="AX74" i="12"/>
  <c r="AW74" i="12"/>
  <c r="AS74" i="12"/>
  <c r="AR74" i="12"/>
  <c r="AU74" i="12"/>
  <c r="AQ74" i="12"/>
  <c r="T74" i="12"/>
  <c r="S74" i="12"/>
  <c r="R74" i="12"/>
  <c r="Q74" i="12"/>
  <c r="P74" i="12"/>
  <c r="O74" i="12"/>
  <c r="J74" i="12"/>
  <c r="I74" i="12"/>
  <c r="G74" i="12"/>
  <c r="B74" i="12"/>
  <c r="BB73" i="12"/>
  <c r="BA73" i="12"/>
  <c r="AZ73" i="12"/>
  <c r="AY73" i="12"/>
  <c r="AX73" i="12"/>
  <c r="AW73" i="12"/>
  <c r="AS73" i="12"/>
  <c r="AR73" i="12"/>
  <c r="AQ73" i="12"/>
  <c r="T73" i="12"/>
  <c r="S73" i="12"/>
  <c r="R73" i="12"/>
  <c r="Q73" i="12"/>
  <c r="P73" i="12"/>
  <c r="O73" i="12"/>
  <c r="J73" i="12"/>
  <c r="I73" i="12"/>
  <c r="G73" i="12"/>
  <c r="B73" i="12"/>
  <c r="BB72" i="12"/>
  <c r="BA72" i="12"/>
  <c r="AZ72" i="12"/>
  <c r="AY72" i="12"/>
  <c r="AX72" i="12"/>
  <c r="AW72" i="12"/>
  <c r="AS72" i="12"/>
  <c r="AR72" i="12"/>
  <c r="AU72" i="12"/>
  <c r="AQ72" i="12"/>
  <c r="T72" i="12"/>
  <c r="S72" i="12"/>
  <c r="R72" i="12"/>
  <c r="Q72" i="12"/>
  <c r="P72" i="12"/>
  <c r="O72" i="12"/>
  <c r="J72" i="12"/>
  <c r="I72" i="12"/>
  <c r="G72" i="12"/>
  <c r="B72" i="12"/>
  <c r="BB71" i="12"/>
  <c r="BA71" i="12"/>
  <c r="AZ71" i="12"/>
  <c r="AY71" i="12"/>
  <c r="AX71" i="12"/>
  <c r="AW71" i="12"/>
  <c r="AS71" i="12"/>
  <c r="AR71" i="12"/>
  <c r="AQ71" i="12"/>
  <c r="T71" i="12"/>
  <c r="S71" i="12"/>
  <c r="R71" i="12"/>
  <c r="Q71" i="12"/>
  <c r="P71" i="12"/>
  <c r="O71" i="12"/>
  <c r="J71" i="12"/>
  <c r="I71" i="12"/>
  <c r="G71" i="12"/>
  <c r="B71" i="12"/>
  <c r="BB70" i="12"/>
  <c r="BA70" i="12"/>
  <c r="AZ70" i="12"/>
  <c r="AY70" i="12"/>
  <c r="AX70" i="12"/>
  <c r="AW70" i="12"/>
  <c r="AS70" i="12"/>
  <c r="AR70" i="12"/>
  <c r="AU70" i="12"/>
  <c r="AQ70" i="12"/>
  <c r="T70" i="12"/>
  <c r="S70" i="12"/>
  <c r="R70" i="12"/>
  <c r="Q70" i="12"/>
  <c r="P70" i="12"/>
  <c r="O70" i="12"/>
  <c r="J70" i="12"/>
  <c r="I70" i="12"/>
  <c r="G70" i="12"/>
  <c r="B70" i="12"/>
  <c r="BB69" i="12"/>
  <c r="BA69" i="12"/>
  <c r="AZ69" i="12"/>
  <c r="AY69" i="12"/>
  <c r="AX69" i="12"/>
  <c r="AW69" i="12"/>
  <c r="AS69" i="12"/>
  <c r="AR69" i="12"/>
  <c r="AU69" i="12"/>
  <c r="AQ69" i="12"/>
  <c r="T69" i="12"/>
  <c r="S69" i="12"/>
  <c r="R69" i="12"/>
  <c r="Q69" i="12"/>
  <c r="P69" i="12"/>
  <c r="O69" i="12"/>
  <c r="J69" i="12"/>
  <c r="I69" i="12"/>
  <c r="G69" i="12"/>
  <c r="B69" i="12"/>
  <c r="BB68" i="12"/>
  <c r="BA68" i="12"/>
  <c r="AZ68" i="12"/>
  <c r="AY68" i="12"/>
  <c r="AX68" i="12"/>
  <c r="AW68" i="12"/>
  <c r="AS68" i="12"/>
  <c r="AR68" i="12"/>
  <c r="AU68" i="12"/>
  <c r="AQ68" i="12"/>
  <c r="T68" i="12"/>
  <c r="S68" i="12"/>
  <c r="R68" i="12"/>
  <c r="Q68" i="12"/>
  <c r="P68" i="12"/>
  <c r="O68" i="12"/>
  <c r="J68" i="12"/>
  <c r="I68" i="12"/>
  <c r="G68" i="12"/>
  <c r="B68" i="12"/>
  <c r="BB67" i="12"/>
  <c r="BA67" i="12"/>
  <c r="AZ67" i="12"/>
  <c r="AY67" i="12"/>
  <c r="AX67" i="12"/>
  <c r="AW67" i="12"/>
  <c r="AS67" i="12"/>
  <c r="AR67" i="12"/>
  <c r="AU67" i="12"/>
  <c r="AQ67" i="12"/>
  <c r="T67" i="12"/>
  <c r="S67" i="12"/>
  <c r="R67" i="12"/>
  <c r="Q67" i="12"/>
  <c r="P67" i="12"/>
  <c r="O67" i="12"/>
  <c r="J67" i="12"/>
  <c r="I67" i="12"/>
  <c r="G67" i="12"/>
  <c r="B67" i="12"/>
  <c r="BB66" i="12"/>
  <c r="BA66" i="12"/>
  <c r="AZ66" i="12"/>
  <c r="AY66" i="12"/>
  <c r="AX66" i="12"/>
  <c r="AW66" i="12"/>
  <c r="AS66" i="12"/>
  <c r="AR66" i="12"/>
  <c r="AU66" i="12"/>
  <c r="AQ66" i="12"/>
  <c r="T66" i="12"/>
  <c r="S66" i="12"/>
  <c r="R66" i="12"/>
  <c r="Q66" i="12"/>
  <c r="P66" i="12"/>
  <c r="O66" i="12"/>
  <c r="J66" i="12"/>
  <c r="I66" i="12"/>
  <c r="G66" i="12"/>
  <c r="B66" i="12"/>
  <c r="BB65" i="12"/>
  <c r="BA65" i="12"/>
  <c r="AZ65" i="12"/>
  <c r="AY65" i="12"/>
  <c r="AX65" i="12"/>
  <c r="AW65" i="12"/>
  <c r="AS65" i="12"/>
  <c r="AR65" i="12"/>
  <c r="AU65" i="12"/>
  <c r="AQ65" i="12"/>
  <c r="T65" i="12"/>
  <c r="S65" i="12"/>
  <c r="R65" i="12"/>
  <c r="Q65" i="12"/>
  <c r="P65" i="12"/>
  <c r="O65" i="12"/>
  <c r="J65" i="12"/>
  <c r="I65" i="12"/>
  <c r="G65" i="12"/>
  <c r="B65" i="12"/>
  <c r="BB64" i="12"/>
  <c r="BA64" i="12"/>
  <c r="AZ64" i="12"/>
  <c r="AY64" i="12"/>
  <c r="AX64" i="12"/>
  <c r="AW64" i="12"/>
  <c r="AS64" i="12"/>
  <c r="AR64" i="12"/>
  <c r="AU64" i="12"/>
  <c r="AQ64" i="12"/>
  <c r="T64" i="12"/>
  <c r="S64" i="12"/>
  <c r="R64" i="12"/>
  <c r="Q64" i="12"/>
  <c r="P64" i="12"/>
  <c r="O64" i="12"/>
  <c r="J64" i="12"/>
  <c r="I64" i="12"/>
  <c r="G64" i="12"/>
  <c r="B64" i="12"/>
  <c r="BB63" i="12"/>
  <c r="BA63" i="12"/>
  <c r="AZ63" i="12"/>
  <c r="AY63" i="12"/>
  <c r="AX63" i="12"/>
  <c r="AW63" i="12"/>
  <c r="AS63" i="12"/>
  <c r="AR63" i="12"/>
  <c r="AU63" i="12"/>
  <c r="AQ63" i="12"/>
  <c r="T63" i="12"/>
  <c r="S63" i="12"/>
  <c r="R63" i="12"/>
  <c r="Q63" i="12"/>
  <c r="P63" i="12"/>
  <c r="O63" i="12"/>
  <c r="J63" i="12"/>
  <c r="I63" i="12"/>
  <c r="G63" i="12"/>
  <c r="B63" i="12"/>
  <c r="BB62" i="12"/>
  <c r="BA62" i="12"/>
  <c r="AZ62" i="12"/>
  <c r="AY62" i="12"/>
  <c r="AX62" i="12"/>
  <c r="AW62" i="12"/>
  <c r="AS62" i="12"/>
  <c r="AR62" i="12"/>
  <c r="AU62" i="12"/>
  <c r="AQ62" i="12"/>
  <c r="T62" i="12"/>
  <c r="S62" i="12"/>
  <c r="R62" i="12"/>
  <c r="Q62" i="12"/>
  <c r="P62" i="12"/>
  <c r="O62" i="12"/>
  <c r="J62" i="12"/>
  <c r="I62" i="12"/>
  <c r="G62" i="12"/>
  <c r="B62" i="12"/>
  <c r="BB61" i="12"/>
  <c r="BA61" i="12"/>
  <c r="AZ61" i="12"/>
  <c r="AY61" i="12"/>
  <c r="AX61" i="12"/>
  <c r="AW61" i="12"/>
  <c r="AS61" i="12"/>
  <c r="AR61" i="12"/>
  <c r="AU61" i="12"/>
  <c r="AQ61" i="12"/>
  <c r="T61" i="12"/>
  <c r="S61" i="12"/>
  <c r="R61" i="12"/>
  <c r="Q61" i="12"/>
  <c r="P61" i="12"/>
  <c r="O61" i="12"/>
  <c r="J61" i="12"/>
  <c r="I61" i="12"/>
  <c r="G61" i="12"/>
  <c r="B61" i="12"/>
  <c r="BB60" i="12"/>
  <c r="BA60" i="12"/>
  <c r="AZ60" i="12"/>
  <c r="AY60" i="12"/>
  <c r="AX60" i="12"/>
  <c r="AW60" i="12"/>
  <c r="AS60" i="12"/>
  <c r="AR60" i="12"/>
  <c r="AU60" i="12"/>
  <c r="AQ60" i="12"/>
  <c r="T60" i="12"/>
  <c r="S60" i="12"/>
  <c r="R60" i="12"/>
  <c r="Q60" i="12"/>
  <c r="P60" i="12"/>
  <c r="O60" i="12"/>
  <c r="J60" i="12"/>
  <c r="I60" i="12"/>
  <c r="G60" i="12"/>
  <c r="B60" i="12"/>
  <c r="BB59" i="12"/>
  <c r="BA59" i="12"/>
  <c r="AZ59" i="12"/>
  <c r="AY59" i="12"/>
  <c r="AX59" i="12"/>
  <c r="AW59" i="12"/>
  <c r="AS59" i="12"/>
  <c r="AR59" i="12"/>
  <c r="AU59" i="12"/>
  <c r="AQ59" i="12"/>
  <c r="T59" i="12"/>
  <c r="S59" i="12"/>
  <c r="R59" i="12"/>
  <c r="Q59" i="12"/>
  <c r="P59" i="12"/>
  <c r="O59" i="12"/>
  <c r="J59" i="12"/>
  <c r="I59" i="12"/>
  <c r="G59" i="12"/>
  <c r="B59" i="12"/>
  <c r="BB58" i="12"/>
  <c r="BA58" i="12"/>
  <c r="AZ58" i="12"/>
  <c r="AY58" i="12"/>
  <c r="AX58" i="12"/>
  <c r="AW58" i="12"/>
  <c r="AS58" i="12"/>
  <c r="AR58" i="12"/>
  <c r="AU58" i="12"/>
  <c r="AQ58" i="12"/>
  <c r="T58" i="12"/>
  <c r="S58" i="12"/>
  <c r="R58" i="12"/>
  <c r="Q58" i="12"/>
  <c r="P58" i="12"/>
  <c r="O58" i="12"/>
  <c r="J58" i="12"/>
  <c r="I58" i="12"/>
  <c r="G58" i="12"/>
  <c r="B58" i="12"/>
  <c r="BB57" i="12"/>
  <c r="BA57" i="12"/>
  <c r="AZ57" i="12"/>
  <c r="AY57" i="12"/>
  <c r="AX57" i="12"/>
  <c r="AW57" i="12"/>
  <c r="AS57" i="12"/>
  <c r="AR57" i="12"/>
  <c r="AU57" i="12"/>
  <c r="AQ57" i="12"/>
  <c r="T57" i="12"/>
  <c r="S57" i="12"/>
  <c r="R57" i="12"/>
  <c r="Q57" i="12"/>
  <c r="P57" i="12"/>
  <c r="O57" i="12"/>
  <c r="J57" i="12"/>
  <c r="I57" i="12"/>
  <c r="G57" i="12"/>
  <c r="B57" i="12"/>
  <c r="BB56" i="12"/>
  <c r="BA56" i="12"/>
  <c r="AZ56" i="12"/>
  <c r="AY56" i="12"/>
  <c r="AX56" i="12"/>
  <c r="AW56" i="12"/>
  <c r="AS56" i="12"/>
  <c r="AR56" i="12"/>
  <c r="AU56" i="12"/>
  <c r="AQ56" i="12"/>
  <c r="T56" i="12"/>
  <c r="S56" i="12"/>
  <c r="R56" i="12"/>
  <c r="Q56" i="12"/>
  <c r="P56" i="12"/>
  <c r="O56" i="12"/>
  <c r="J56" i="12"/>
  <c r="I56" i="12"/>
  <c r="G56" i="12"/>
  <c r="B56" i="12"/>
  <c r="BB55" i="12"/>
  <c r="BA55" i="12"/>
  <c r="AZ55" i="12"/>
  <c r="AY55" i="12"/>
  <c r="AX55" i="12"/>
  <c r="AW55" i="12"/>
  <c r="AS55" i="12"/>
  <c r="AR55" i="12"/>
  <c r="AU55" i="12"/>
  <c r="AQ55" i="12"/>
  <c r="T55" i="12"/>
  <c r="S55" i="12"/>
  <c r="R55" i="12"/>
  <c r="Q55" i="12"/>
  <c r="P55" i="12"/>
  <c r="O55" i="12"/>
  <c r="J55" i="12"/>
  <c r="I55" i="12"/>
  <c r="G55" i="12"/>
  <c r="B55" i="12"/>
  <c r="BB54" i="12"/>
  <c r="BA54" i="12"/>
  <c r="AZ54" i="12"/>
  <c r="AY54" i="12"/>
  <c r="AX54" i="12"/>
  <c r="AW54" i="12"/>
  <c r="AS54" i="12"/>
  <c r="AR54" i="12"/>
  <c r="AU54" i="12"/>
  <c r="AQ54" i="12"/>
  <c r="T54" i="12"/>
  <c r="S54" i="12"/>
  <c r="R54" i="12"/>
  <c r="Q54" i="12"/>
  <c r="P54" i="12"/>
  <c r="O54" i="12"/>
  <c r="J54" i="12"/>
  <c r="I54" i="12"/>
  <c r="G54" i="12"/>
  <c r="B54" i="12"/>
  <c r="BB53" i="12"/>
  <c r="BA53" i="12"/>
  <c r="AZ53" i="12"/>
  <c r="AY53" i="12"/>
  <c r="AX53" i="12"/>
  <c r="AW53" i="12"/>
  <c r="AS53" i="12"/>
  <c r="AR53" i="12"/>
  <c r="AU53" i="12"/>
  <c r="AQ53" i="12"/>
  <c r="T53" i="12"/>
  <c r="S53" i="12"/>
  <c r="R53" i="12"/>
  <c r="Q53" i="12"/>
  <c r="P53" i="12"/>
  <c r="O53" i="12"/>
  <c r="J53" i="12"/>
  <c r="I53" i="12"/>
  <c r="G53" i="12"/>
  <c r="B53" i="12"/>
  <c r="BB52" i="12"/>
  <c r="BA52" i="12"/>
  <c r="AZ52" i="12"/>
  <c r="AY52" i="12"/>
  <c r="AX52" i="12"/>
  <c r="AW52" i="12"/>
  <c r="AS52" i="12"/>
  <c r="AR52" i="12"/>
  <c r="AU52" i="12"/>
  <c r="AQ52" i="12"/>
  <c r="T52" i="12"/>
  <c r="S52" i="12"/>
  <c r="R52" i="12"/>
  <c r="Q52" i="12"/>
  <c r="P52" i="12"/>
  <c r="O52" i="12"/>
  <c r="J52" i="12"/>
  <c r="I52" i="12"/>
  <c r="G52" i="12"/>
  <c r="B52" i="12"/>
  <c r="BB51" i="12"/>
  <c r="BA51" i="12"/>
  <c r="AZ51" i="12"/>
  <c r="AY51" i="12"/>
  <c r="AX51" i="12"/>
  <c r="AW51" i="12"/>
  <c r="AS51" i="12"/>
  <c r="AR51" i="12"/>
  <c r="AU51" i="12"/>
  <c r="AQ51" i="12"/>
  <c r="T51" i="12"/>
  <c r="S51" i="12"/>
  <c r="R51" i="12"/>
  <c r="Q51" i="12"/>
  <c r="P51" i="12"/>
  <c r="O51" i="12"/>
  <c r="J51" i="12"/>
  <c r="I51" i="12"/>
  <c r="G51" i="12"/>
  <c r="B51" i="12"/>
  <c r="BB50" i="12"/>
  <c r="BA50" i="12"/>
  <c r="AZ50" i="12"/>
  <c r="AY50" i="12"/>
  <c r="AX50" i="12"/>
  <c r="AW50" i="12"/>
  <c r="AS50" i="12"/>
  <c r="AR50" i="12"/>
  <c r="AU50" i="12"/>
  <c r="AQ50" i="12"/>
  <c r="T50" i="12"/>
  <c r="S50" i="12"/>
  <c r="R50" i="12"/>
  <c r="Q50" i="12"/>
  <c r="P50" i="12"/>
  <c r="O50" i="12"/>
  <c r="J50" i="12"/>
  <c r="I50" i="12"/>
  <c r="G50" i="12"/>
  <c r="B50" i="12"/>
  <c r="BB49" i="12"/>
  <c r="BA49" i="12"/>
  <c r="AZ49" i="12"/>
  <c r="AY49" i="12"/>
  <c r="AX49" i="12"/>
  <c r="AW49" i="12"/>
  <c r="AS49" i="12"/>
  <c r="AR49" i="12"/>
  <c r="AU49" i="12"/>
  <c r="AQ49" i="12"/>
  <c r="T49" i="12"/>
  <c r="S49" i="12"/>
  <c r="R49" i="12"/>
  <c r="Q49" i="12"/>
  <c r="P49" i="12"/>
  <c r="O49" i="12"/>
  <c r="J49" i="12"/>
  <c r="I49" i="12"/>
  <c r="G49" i="12"/>
  <c r="B49" i="12"/>
  <c r="BB48" i="12"/>
  <c r="BA48" i="12"/>
  <c r="AZ48" i="12"/>
  <c r="AY48" i="12"/>
  <c r="AX48" i="12"/>
  <c r="AW48" i="12"/>
  <c r="AS48" i="12"/>
  <c r="AR48" i="12"/>
  <c r="AU48" i="12"/>
  <c r="AQ48" i="12"/>
  <c r="T48" i="12"/>
  <c r="S48" i="12"/>
  <c r="R48" i="12"/>
  <c r="Q48" i="12"/>
  <c r="P48" i="12"/>
  <c r="O48" i="12"/>
  <c r="J48" i="12"/>
  <c r="I48" i="12"/>
  <c r="G48" i="12"/>
  <c r="B48" i="12"/>
  <c r="BB47" i="12"/>
  <c r="BA47" i="12"/>
  <c r="AZ47" i="12"/>
  <c r="AY47" i="12"/>
  <c r="AX47" i="12"/>
  <c r="AW47" i="12"/>
  <c r="AS47" i="12"/>
  <c r="AR47" i="12"/>
  <c r="AU47" i="12"/>
  <c r="AQ47" i="12"/>
  <c r="T47" i="12"/>
  <c r="S47" i="12"/>
  <c r="R47" i="12"/>
  <c r="Q47" i="12"/>
  <c r="P47" i="12"/>
  <c r="O47" i="12"/>
  <c r="J47" i="12"/>
  <c r="I47" i="12"/>
  <c r="G47" i="12"/>
  <c r="B47" i="12"/>
  <c r="BB46" i="12"/>
  <c r="BA46" i="12"/>
  <c r="AZ46" i="12"/>
  <c r="AY46" i="12"/>
  <c r="AX46" i="12"/>
  <c r="AW46" i="12"/>
  <c r="AS46" i="12"/>
  <c r="AR46" i="12"/>
  <c r="AU46" i="12"/>
  <c r="AQ46" i="12"/>
  <c r="T46" i="12"/>
  <c r="S46" i="12"/>
  <c r="R46" i="12"/>
  <c r="Q46" i="12"/>
  <c r="P46" i="12"/>
  <c r="O46" i="12"/>
  <c r="J46" i="12"/>
  <c r="I46" i="12"/>
  <c r="G46" i="12"/>
  <c r="B46" i="12"/>
  <c r="BB45" i="12"/>
  <c r="BA45" i="12"/>
  <c r="AZ45" i="12"/>
  <c r="AY45" i="12"/>
  <c r="AX45" i="12"/>
  <c r="AW45" i="12"/>
  <c r="AS45" i="12"/>
  <c r="AR45" i="12"/>
  <c r="AU45" i="12"/>
  <c r="AQ45" i="12"/>
  <c r="T45" i="12"/>
  <c r="S45" i="12"/>
  <c r="R45" i="12"/>
  <c r="Q45" i="12"/>
  <c r="P45" i="12"/>
  <c r="O45" i="12"/>
  <c r="J45" i="12"/>
  <c r="I45" i="12"/>
  <c r="G45" i="12"/>
  <c r="B45" i="12"/>
  <c r="BB44" i="12"/>
  <c r="BA44" i="12"/>
  <c r="AZ44" i="12"/>
  <c r="AY44" i="12"/>
  <c r="AX44" i="12"/>
  <c r="AW44" i="12"/>
  <c r="AS44" i="12"/>
  <c r="AR44" i="12"/>
  <c r="AU44" i="12"/>
  <c r="AQ44" i="12"/>
  <c r="T44" i="12"/>
  <c r="S44" i="12"/>
  <c r="R44" i="12"/>
  <c r="Q44" i="12"/>
  <c r="P44" i="12"/>
  <c r="O44" i="12"/>
  <c r="J44" i="12"/>
  <c r="I44" i="12"/>
  <c r="G44" i="12"/>
  <c r="B44" i="12"/>
  <c r="BB43" i="12"/>
  <c r="BA43" i="12"/>
  <c r="AZ43" i="12"/>
  <c r="AY43" i="12"/>
  <c r="AX43" i="12"/>
  <c r="AW43" i="12"/>
  <c r="AS43" i="12"/>
  <c r="AR43" i="12"/>
  <c r="AU43" i="12"/>
  <c r="AQ43" i="12"/>
  <c r="T43" i="12"/>
  <c r="S43" i="12"/>
  <c r="R43" i="12"/>
  <c r="Q43" i="12"/>
  <c r="P43" i="12"/>
  <c r="O43" i="12"/>
  <c r="J43" i="12"/>
  <c r="I43" i="12"/>
  <c r="G43" i="12"/>
  <c r="B43" i="12"/>
  <c r="BB42" i="12"/>
  <c r="BA42" i="12"/>
  <c r="AZ42" i="12"/>
  <c r="AY42" i="12"/>
  <c r="AX42" i="12"/>
  <c r="AW42" i="12"/>
  <c r="AS42" i="12"/>
  <c r="AR42" i="12"/>
  <c r="AU42" i="12"/>
  <c r="AQ42" i="12"/>
  <c r="T42" i="12"/>
  <c r="S42" i="12"/>
  <c r="R42" i="12"/>
  <c r="Q42" i="12"/>
  <c r="P42" i="12"/>
  <c r="O42" i="12"/>
  <c r="J42" i="12"/>
  <c r="I42" i="12"/>
  <c r="G42" i="12"/>
  <c r="B42" i="12"/>
  <c r="BB41" i="12"/>
  <c r="BA41" i="12"/>
  <c r="AZ41" i="12"/>
  <c r="AY41" i="12"/>
  <c r="AX41" i="12"/>
  <c r="AW41" i="12"/>
  <c r="AS41" i="12"/>
  <c r="AR41" i="12"/>
  <c r="AU41" i="12"/>
  <c r="AQ41" i="12"/>
  <c r="T41" i="12"/>
  <c r="S41" i="12"/>
  <c r="R41" i="12"/>
  <c r="Q41" i="12"/>
  <c r="P41" i="12"/>
  <c r="O41" i="12"/>
  <c r="J41" i="12"/>
  <c r="I41" i="12"/>
  <c r="G41" i="12"/>
  <c r="B41" i="12"/>
  <c r="BB40" i="12"/>
  <c r="BA40" i="12"/>
  <c r="AZ40" i="12"/>
  <c r="AY40" i="12"/>
  <c r="AX40" i="12"/>
  <c r="AW40" i="12"/>
  <c r="AS40" i="12"/>
  <c r="AR40" i="12"/>
  <c r="AU40" i="12"/>
  <c r="AQ40" i="12"/>
  <c r="T40" i="12"/>
  <c r="S40" i="12"/>
  <c r="R40" i="12"/>
  <c r="Q40" i="12"/>
  <c r="P40" i="12"/>
  <c r="O40" i="12"/>
  <c r="J40" i="12"/>
  <c r="I40" i="12"/>
  <c r="G40" i="12"/>
  <c r="B40" i="12"/>
  <c r="BB39" i="12"/>
  <c r="BA39" i="12"/>
  <c r="AZ39" i="12"/>
  <c r="AY39" i="12"/>
  <c r="AX39" i="12"/>
  <c r="AW39" i="12"/>
  <c r="AS39" i="12"/>
  <c r="AR39" i="12"/>
  <c r="AU39" i="12"/>
  <c r="AQ39" i="12"/>
  <c r="T39" i="12"/>
  <c r="S39" i="12"/>
  <c r="R39" i="12"/>
  <c r="Q39" i="12"/>
  <c r="P39" i="12"/>
  <c r="O39" i="12"/>
  <c r="J39" i="12"/>
  <c r="I39" i="12"/>
  <c r="G39" i="12"/>
  <c r="B39" i="12"/>
  <c r="BB38" i="12"/>
  <c r="BA38" i="12"/>
  <c r="AZ38" i="12"/>
  <c r="AY38" i="12"/>
  <c r="AX38" i="12"/>
  <c r="AW38" i="12"/>
  <c r="AS38" i="12"/>
  <c r="AR38" i="12"/>
  <c r="AU38" i="12"/>
  <c r="AQ38" i="12"/>
  <c r="T38" i="12"/>
  <c r="S38" i="12"/>
  <c r="R38" i="12"/>
  <c r="Q38" i="12"/>
  <c r="P38" i="12"/>
  <c r="O38" i="12"/>
  <c r="J38" i="12"/>
  <c r="I38" i="12"/>
  <c r="G38" i="12"/>
  <c r="B38" i="12"/>
  <c r="BB37" i="12"/>
  <c r="BA37" i="12"/>
  <c r="AZ37" i="12"/>
  <c r="AY37" i="12"/>
  <c r="AX37" i="12"/>
  <c r="AW37" i="12"/>
  <c r="AS37" i="12"/>
  <c r="AR37" i="12"/>
  <c r="AU37" i="12"/>
  <c r="AQ37" i="12"/>
  <c r="T37" i="12"/>
  <c r="S37" i="12"/>
  <c r="R37" i="12"/>
  <c r="Q37" i="12"/>
  <c r="P37" i="12"/>
  <c r="O37" i="12"/>
  <c r="J37" i="12"/>
  <c r="I37" i="12"/>
  <c r="G37" i="12"/>
  <c r="B37" i="12"/>
  <c r="BB36" i="12"/>
  <c r="BA36" i="12"/>
  <c r="AZ36" i="12"/>
  <c r="AY36" i="12"/>
  <c r="AX36" i="12"/>
  <c r="AW36" i="12"/>
  <c r="AS36" i="12"/>
  <c r="AR36" i="12"/>
  <c r="AU36" i="12"/>
  <c r="AQ36" i="12"/>
  <c r="T36" i="12"/>
  <c r="S36" i="12"/>
  <c r="R36" i="12"/>
  <c r="Q36" i="12"/>
  <c r="P36" i="12"/>
  <c r="O36" i="12"/>
  <c r="J36" i="12"/>
  <c r="I36" i="12"/>
  <c r="G36" i="12"/>
  <c r="B36" i="12"/>
  <c r="BB35" i="12"/>
  <c r="BA35" i="12"/>
  <c r="AZ35" i="12"/>
  <c r="AY35" i="12"/>
  <c r="AX35" i="12"/>
  <c r="AW35" i="12"/>
  <c r="AS35" i="12"/>
  <c r="AR35" i="12"/>
  <c r="AU35" i="12"/>
  <c r="AQ35" i="12"/>
  <c r="T35" i="12"/>
  <c r="S35" i="12"/>
  <c r="R35" i="12"/>
  <c r="Q35" i="12"/>
  <c r="P35" i="12"/>
  <c r="O35" i="12"/>
  <c r="J35" i="12"/>
  <c r="I35" i="12"/>
  <c r="G35" i="12"/>
  <c r="B35" i="12"/>
  <c r="BB34" i="12"/>
  <c r="BA34" i="12"/>
  <c r="AZ34" i="12"/>
  <c r="AY34" i="12"/>
  <c r="AX34" i="12"/>
  <c r="AW34" i="12"/>
  <c r="AS34" i="12"/>
  <c r="AR34" i="12"/>
  <c r="AU34" i="12"/>
  <c r="AQ34" i="12"/>
  <c r="T34" i="12"/>
  <c r="S34" i="12"/>
  <c r="R34" i="12"/>
  <c r="Q34" i="12"/>
  <c r="P34" i="12"/>
  <c r="O34" i="12"/>
  <c r="J34" i="12"/>
  <c r="I34" i="12"/>
  <c r="G34" i="12"/>
  <c r="B34" i="12"/>
  <c r="BB33" i="12"/>
  <c r="BA33" i="12"/>
  <c r="AZ33" i="12"/>
  <c r="AY33" i="12"/>
  <c r="AX33" i="12"/>
  <c r="AW33" i="12"/>
  <c r="AS33" i="12"/>
  <c r="AR33" i="12"/>
  <c r="AU33" i="12"/>
  <c r="AQ33" i="12"/>
  <c r="T33" i="12"/>
  <c r="S33" i="12"/>
  <c r="R33" i="12"/>
  <c r="Q33" i="12"/>
  <c r="P33" i="12"/>
  <c r="O33" i="12"/>
  <c r="J33" i="12"/>
  <c r="I33" i="12"/>
  <c r="G33" i="12"/>
  <c r="B33" i="12"/>
  <c r="BB32" i="12"/>
  <c r="BA32" i="12"/>
  <c r="AZ32" i="12"/>
  <c r="AY32" i="12"/>
  <c r="AX32" i="12"/>
  <c r="AW32" i="12"/>
  <c r="AS32" i="12"/>
  <c r="AR32" i="12"/>
  <c r="AU32" i="12"/>
  <c r="AQ32" i="12"/>
  <c r="T32" i="12"/>
  <c r="S32" i="12"/>
  <c r="R32" i="12"/>
  <c r="Q32" i="12"/>
  <c r="P32" i="12"/>
  <c r="O32" i="12"/>
  <c r="J32" i="12"/>
  <c r="I32" i="12"/>
  <c r="G32" i="12"/>
  <c r="B32" i="12"/>
  <c r="BB31" i="12"/>
  <c r="BA31" i="12"/>
  <c r="AZ31" i="12"/>
  <c r="AY31" i="12"/>
  <c r="AX31" i="12"/>
  <c r="AW31" i="12"/>
  <c r="AS31" i="12"/>
  <c r="AR31" i="12"/>
  <c r="AU31" i="12"/>
  <c r="AQ31" i="12"/>
  <c r="T31" i="12"/>
  <c r="S31" i="12"/>
  <c r="R31" i="12"/>
  <c r="Q31" i="12"/>
  <c r="P31" i="12"/>
  <c r="O31" i="12"/>
  <c r="J31" i="12"/>
  <c r="I31" i="12"/>
  <c r="G31" i="12"/>
  <c r="B31" i="12"/>
  <c r="BB30" i="12"/>
  <c r="BA30" i="12"/>
  <c r="AZ30" i="12"/>
  <c r="AY30" i="12"/>
  <c r="AX30" i="12"/>
  <c r="AW30" i="12"/>
  <c r="AS30" i="12"/>
  <c r="AR30" i="12"/>
  <c r="AU30" i="12"/>
  <c r="AQ30" i="12"/>
  <c r="T30" i="12"/>
  <c r="S30" i="12"/>
  <c r="R30" i="12"/>
  <c r="Q30" i="12"/>
  <c r="P30" i="12"/>
  <c r="O30" i="12"/>
  <c r="J30" i="12"/>
  <c r="I30" i="12"/>
  <c r="G30" i="12"/>
  <c r="B30" i="12"/>
  <c r="BB29" i="12"/>
  <c r="BA29" i="12"/>
  <c r="AZ29" i="12"/>
  <c r="AY29" i="12"/>
  <c r="AX29" i="12"/>
  <c r="AW29" i="12"/>
  <c r="AS29" i="12"/>
  <c r="AR29" i="12"/>
  <c r="AU29" i="12"/>
  <c r="AQ29" i="12"/>
  <c r="T29" i="12"/>
  <c r="S29" i="12"/>
  <c r="R29" i="12"/>
  <c r="Q29" i="12"/>
  <c r="P29" i="12"/>
  <c r="O29" i="12"/>
  <c r="J29" i="12"/>
  <c r="I29" i="12"/>
  <c r="G29" i="12"/>
  <c r="B29" i="12"/>
  <c r="BB28" i="12"/>
  <c r="BA28" i="12"/>
  <c r="AZ28" i="12"/>
  <c r="AY28" i="12"/>
  <c r="AX28" i="12"/>
  <c r="AW28" i="12"/>
  <c r="AS28" i="12"/>
  <c r="AR28" i="12"/>
  <c r="AU28" i="12"/>
  <c r="AQ28" i="12"/>
  <c r="T28" i="12"/>
  <c r="S28" i="12"/>
  <c r="R28" i="12"/>
  <c r="Q28" i="12"/>
  <c r="P28" i="12"/>
  <c r="O28" i="12"/>
  <c r="J28" i="12"/>
  <c r="I28" i="12"/>
  <c r="G28" i="12"/>
  <c r="B28" i="12"/>
  <c r="BB27" i="12"/>
  <c r="BA27" i="12"/>
  <c r="AZ27" i="12"/>
  <c r="AY27" i="12"/>
  <c r="AX27" i="12"/>
  <c r="AW27" i="12"/>
  <c r="AS27" i="12"/>
  <c r="AR27" i="12"/>
  <c r="AU27" i="12"/>
  <c r="AQ27" i="12"/>
  <c r="T27" i="12"/>
  <c r="S27" i="12"/>
  <c r="R27" i="12"/>
  <c r="Q27" i="12"/>
  <c r="P27" i="12"/>
  <c r="O27" i="12"/>
  <c r="J27" i="12"/>
  <c r="I27" i="12"/>
  <c r="G27" i="12"/>
  <c r="B27" i="12"/>
  <c r="BB26" i="12"/>
  <c r="BA26" i="12"/>
  <c r="AZ26" i="12"/>
  <c r="AY26" i="12"/>
  <c r="AX26" i="12"/>
  <c r="AW26" i="12"/>
  <c r="AS26" i="12"/>
  <c r="AR26" i="12"/>
  <c r="AU26" i="12"/>
  <c r="AQ26" i="12"/>
  <c r="T26" i="12"/>
  <c r="S26" i="12"/>
  <c r="R26" i="12"/>
  <c r="Q26" i="12"/>
  <c r="P26" i="12"/>
  <c r="O26" i="12"/>
  <c r="J26" i="12"/>
  <c r="I26" i="12"/>
  <c r="G26" i="12"/>
  <c r="B26" i="12"/>
  <c r="BB25" i="12"/>
  <c r="BA25" i="12"/>
  <c r="AZ25" i="12"/>
  <c r="AY25" i="12"/>
  <c r="AX25" i="12"/>
  <c r="AW25" i="12"/>
  <c r="AS25" i="12"/>
  <c r="AR25" i="12"/>
  <c r="AU25" i="12"/>
  <c r="AQ25" i="12"/>
  <c r="T25" i="12"/>
  <c r="S25" i="12"/>
  <c r="R25" i="12"/>
  <c r="Q25" i="12"/>
  <c r="P25" i="12"/>
  <c r="O25" i="12"/>
  <c r="J25" i="12"/>
  <c r="I25" i="12"/>
  <c r="G25" i="12"/>
  <c r="B25" i="12"/>
  <c r="BB24" i="12"/>
  <c r="BA24" i="12"/>
  <c r="AZ24" i="12"/>
  <c r="AY24" i="12"/>
  <c r="AX24" i="12"/>
  <c r="AW24" i="12"/>
  <c r="AS24" i="12"/>
  <c r="AR24" i="12"/>
  <c r="AU24" i="12"/>
  <c r="AQ24" i="12"/>
  <c r="T24" i="12"/>
  <c r="S24" i="12"/>
  <c r="R24" i="12"/>
  <c r="Q24" i="12"/>
  <c r="P24" i="12"/>
  <c r="O24" i="12"/>
  <c r="J24" i="12"/>
  <c r="I24" i="12"/>
  <c r="G24" i="12"/>
  <c r="B24" i="12"/>
  <c r="BB23" i="12"/>
  <c r="BA23" i="12"/>
  <c r="AZ23" i="12"/>
  <c r="AY23" i="12"/>
  <c r="AX23" i="12"/>
  <c r="AW23" i="12"/>
  <c r="AS23" i="12"/>
  <c r="AR23" i="12"/>
  <c r="AU23" i="12"/>
  <c r="AQ23" i="12"/>
  <c r="T23" i="12"/>
  <c r="S23" i="12"/>
  <c r="R23" i="12"/>
  <c r="Q23" i="12"/>
  <c r="P23" i="12"/>
  <c r="O23" i="12"/>
  <c r="J23" i="12"/>
  <c r="I23" i="12"/>
  <c r="G23" i="12"/>
  <c r="B23" i="12"/>
  <c r="BB22" i="12"/>
  <c r="BA22" i="12"/>
  <c r="AZ22" i="12"/>
  <c r="AY22" i="12"/>
  <c r="AX22" i="12"/>
  <c r="AW22" i="12"/>
  <c r="AS22" i="12"/>
  <c r="AR22" i="12"/>
  <c r="AU22" i="12"/>
  <c r="AQ22" i="12"/>
  <c r="T22" i="12"/>
  <c r="S22" i="12"/>
  <c r="R22" i="12"/>
  <c r="Q22" i="12"/>
  <c r="P22" i="12"/>
  <c r="O22" i="12"/>
  <c r="J22" i="12"/>
  <c r="I22" i="12"/>
  <c r="G22" i="12"/>
  <c r="B22" i="12"/>
  <c r="BB21" i="12"/>
  <c r="BA21" i="12"/>
  <c r="AZ21" i="12"/>
  <c r="AY21" i="12"/>
  <c r="AX21" i="12"/>
  <c r="AW21" i="12"/>
  <c r="AS21" i="12"/>
  <c r="AR21" i="12"/>
  <c r="AU21" i="12"/>
  <c r="AQ21" i="12"/>
  <c r="T21" i="12"/>
  <c r="S21" i="12"/>
  <c r="R21" i="12"/>
  <c r="Q21" i="12"/>
  <c r="P21" i="12"/>
  <c r="O21" i="12"/>
  <c r="J21" i="12"/>
  <c r="I21" i="12"/>
  <c r="G21" i="12"/>
  <c r="B21" i="12"/>
  <c r="BB20" i="12"/>
  <c r="BA20" i="12"/>
  <c r="AZ20" i="12"/>
  <c r="AY20" i="12"/>
  <c r="AX20" i="12"/>
  <c r="AW20" i="12"/>
  <c r="AS20" i="12"/>
  <c r="AR20" i="12"/>
  <c r="AU20" i="12"/>
  <c r="AQ20" i="12"/>
  <c r="T20" i="12"/>
  <c r="S20" i="12"/>
  <c r="R20" i="12"/>
  <c r="Q20" i="12"/>
  <c r="P20" i="12"/>
  <c r="O20" i="12"/>
  <c r="J20" i="12"/>
  <c r="I20" i="12"/>
  <c r="G20" i="12"/>
  <c r="B20" i="12"/>
  <c r="BB19" i="12"/>
  <c r="BA19" i="12"/>
  <c r="AZ19" i="12"/>
  <c r="AY19" i="12"/>
  <c r="AX19" i="12"/>
  <c r="AW19" i="12"/>
  <c r="AS19" i="12"/>
  <c r="AR19" i="12"/>
  <c r="AU19" i="12"/>
  <c r="AQ19" i="12"/>
  <c r="T19" i="12"/>
  <c r="S19" i="12"/>
  <c r="R19" i="12"/>
  <c r="Q19" i="12"/>
  <c r="P19" i="12"/>
  <c r="O19" i="12"/>
  <c r="J19" i="12"/>
  <c r="I19" i="12"/>
  <c r="G19" i="12"/>
  <c r="B19" i="12"/>
  <c r="BB18" i="12"/>
  <c r="BA18" i="12"/>
  <c r="AZ18" i="12"/>
  <c r="AY18" i="12"/>
  <c r="AX18" i="12"/>
  <c r="AW18" i="12"/>
  <c r="AS18" i="12"/>
  <c r="AR18" i="12"/>
  <c r="AU18" i="12"/>
  <c r="AQ18" i="12"/>
  <c r="T18" i="12"/>
  <c r="S18" i="12"/>
  <c r="R18" i="12"/>
  <c r="Q18" i="12"/>
  <c r="P18" i="12"/>
  <c r="O18" i="12"/>
  <c r="J18" i="12"/>
  <c r="I18" i="12"/>
  <c r="G18" i="12"/>
  <c r="B18" i="12"/>
  <c r="BB17" i="12"/>
  <c r="BA17" i="12"/>
  <c r="AZ17" i="12"/>
  <c r="AY17" i="12"/>
  <c r="AX17" i="12"/>
  <c r="AW17" i="12"/>
  <c r="AS17" i="12"/>
  <c r="AR17" i="12"/>
  <c r="AU17" i="12"/>
  <c r="AQ17" i="12"/>
  <c r="T17" i="12"/>
  <c r="S17" i="12"/>
  <c r="R17" i="12"/>
  <c r="Q17" i="12"/>
  <c r="P17" i="12"/>
  <c r="O17" i="12"/>
  <c r="J17" i="12"/>
  <c r="I17" i="12"/>
  <c r="G17" i="12"/>
  <c r="B17" i="12"/>
  <c r="BB16" i="12"/>
  <c r="BA16" i="12"/>
  <c r="AZ16" i="12"/>
  <c r="AY16" i="12"/>
  <c r="AX16" i="12"/>
  <c r="AW16" i="12"/>
  <c r="AS16" i="12"/>
  <c r="AR16" i="12"/>
  <c r="AU16" i="12"/>
  <c r="AQ16" i="12"/>
  <c r="T16" i="12"/>
  <c r="S16" i="12"/>
  <c r="R16" i="12"/>
  <c r="Q16" i="12"/>
  <c r="P16" i="12"/>
  <c r="O16" i="12"/>
  <c r="J16" i="12"/>
  <c r="I16" i="12"/>
  <c r="G16" i="12"/>
  <c r="B16" i="12"/>
  <c r="BB15" i="12"/>
  <c r="BA15" i="12"/>
  <c r="AZ15" i="12"/>
  <c r="AY15" i="12"/>
  <c r="AX15" i="12"/>
  <c r="AW15" i="12"/>
  <c r="AS15" i="12"/>
  <c r="AR15" i="12"/>
  <c r="AU15" i="12"/>
  <c r="AQ15" i="12"/>
  <c r="T15" i="12"/>
  <c r="S15" i="12"/>
  <c r="R15" i="12"/>
  <c r="Q15" i="12"/>
  <c r="P15" i="12"/>
  <c r="O15" i="12"/>
  <c r="J15" i="12"/>
  <c r="I15" i="12"/>
  <c r="G15" i="12"/>
  <c r="B15" i="12"/>
  <c r="BB14" i="12"/>
  <c r="BA14" i="12"/>
  <c r="AZ14" i="12"/>
  <c r="AY14" i="12"/>
  <c r="AX14" i="12"/>
  <c r="AW14" i="12"/>
  <c r="AS14" i="12"/>
  <c r="AR14" i="12"/>
  <c r="AU14" i="12"/>
  <c r="AQ14" i="12"/>
  <c r="T14" i="12"/>
  <c r="S14" i="12"/>
  <c r="R14" i="12"/>
  <c r="Q14" i="12"/>
  <c r="P14" i="12"/>
  <c r="O14" i="12"/>
  <c r="J14" i="12"/>
  <c r="I14" i="12"/>
  <c r="G14" i="12"/>
  <c r="B14" i="12"/>
  <c r="BB13" i="12"/>
  <c r="BA13" i="12"/>
  <c r="AZ13" i="12"/>
  <c r="AY13" i="12"/>
  <c r="AX13" i="12"/>
  <c r="AW13" i="12"/>
  <c r="AS13" i="12"/>
  <c r="AR13" i="12"/>
  <c r="AU13" i="12"/>
  <c r="AQ13" i="12"/>
  <c r="T13" i="12"/>
  <c r="S13" i="12"/>
  <c r="R13" i="12"/>
  <c r="Q13" i="12"/>
  <c r="P13" i="12"/>
  <c r="O13" i="12"/>
  <c r="J13" i="12"/>
  <c r="I13" i="12"/>
  <c r="G13" i="12"/>
  <c r="B13" i="12"/>
  <c r="BB12" i="12"/>
  <c r="BA12" i="12"/>
  <c r="AZ12" i="12"/>
  <c r="AY12" i="12"/>
  <c r="AX12" i="12"/>
  <c r="AW12" i="12"/>
  <c r="AS12" i="12"/>
  <c r="AR12" i="12"/>
  <c r="AU12" i="12"/>
  <c r="AQ12" i="12"/>
  <c r="T12" i="12"/>
  <c r="S12" i="12"/>
  <c r="R12" i="12"/>
  <c r="Q12" i="12"/>
  <c r="P12" i="12"/>
  <c r="O12" i="12"/>
  <c r="J12" i="12"/>
  <c r="I12" i="12"/>
  <c r="G12" i="12"/>
  <c r="B12" i="12"/>
  <c r="BB11" i="12"/>
  <c r="BA11" i="12"/>
  <c r="AZ11" i="12"/>
  <c r="AY11" i="12"/>
  <c r="AX11" i="12"/>
  <c r="AW11" i="12"/>
  <c r="AS11" i="12"/>
  <c r="AR11" i="12"/>
  <c r="AU11" i="12"/>
  <c r="AQ11" i="12"/>
  <c r="T11" i="12"/>
  <c r="S11" i="12"/>
  <c r="R11" i="12"/>
  <c r="Q11" i="12"/>
  <c r="P11" i="12"/>
  <c r="O11" i="12"/>
  <c r="J11" i="12"/>
  <c r="I11" i="12"/>
  <c r="G11" i="12"/>
  <c r="B11" i="12"/>
  <c r="BB10" i="12"/>
  <c r="BA10" i="12"/>
  <c r="AZ10" i="12"/>
  <c r="AY10" i="12"/>
  <c r="AX10" i="12"/>
  <c r="AW10" i="12"/>
  <c r="AS10" i="12"/>
  <c r="AR10" i="12"/>
  <c r="AU10" i="12"/>
  <c r="AQ10" i="12"/>
  <c r="T10" i="12"/>
  <c r="S10" i="12"/>
  <c r="R10" i="12"/>
  <c r="Q10" i="12"/>
  <c r="P10" i="12"/>
  <c r="O10" i="12"/>
  <c r="J10" i="12"/>
  <c r="I10" i="12"/>
  <c r="G10" i="12"/>
  <c r="B10" i="12"/>
  <c r="BB9" i="12"/>
  <c r="BA9" i="12"/>
  <c r="AZ9" i="12"/>
  <c r="AY9" i="12"/>
  <c r="AX9" i="12"/>
  <c r="AW9" i="12"/>
  <c r="AS9" i="12"/>
  <c r="AR9" i="12"/>
  <c r="AU9" i="12"/>
  <c r="AQ9" i="12"/>
  <c r="T9" i="12"/>
  <c r="S9" i="12"/>
  <c r="R9" i="12"/>
  <c r="Q9" i="12"/>
  <c r="P9" i="12"/>
  <c r="O9" i="12"/>
  <c r="J9" i="12"/>
  <c r="I9" i="12"/>
  <c r="G9" i="12"/>
  <c r="B9" i="12"/>
  <c r="BB8" i="12"/>
  <c r="BA8" i="12"/>
  <c r="AZ8" i="12"/>
  <c r="AY8" i="12"/>
  <c r="AX8" i="12"/>
  <c r="AW8" i="12"/>
  <c r="AS8" i="12"/>
  <c r="AR8" i="12"/>
  <c r="AU8" i="12"/>
  <c r="AQ8" i="12"/>
  <c r="T8" i="12"/>
  <c r="S8" i="12"/>
  <c r="R8" i="12"/>
  <c r="Q8" i="12"/>
  <c r="P8" i="12"/>
  <c r="O8" i="12"/>
  <c r="J8" i="12"/>
  <c r="I8" i="12"/>
  <c r="G8" i="12"/>
  <c r="B8" i="12"/>
  <c r="BB7" i="12"/>
  <c r="BA7" i="12"/>
  <c r="AZ7" i="12"/>
  <c r="AY7" i="12"/>
  <c r="AX7" i="12"/>
  <c r="AW7" i="12"/>
  <c r="AS7" i="12"/>
  <c r="AR7" i="12"/>
  <c r="AU7" i="12"/>
  <c r="AQ7" i="12"/>
  <c r="T7" i="12"/>
  <c r="S7" i="12"/>
  <c r="R7" i="12"/>
  <c r="Q7" i="12"/>
  <c r="P7" i="12"/>
  <c r="O7" i="12"/>
  <c r="J7" i="12"/>
  <c r="I7" i="12"/>
  <c r="G7" i="12"/>
  <c r="B7" i="12"/>
  <c r="BB6" i="12"/>
  <c r="BA6" i="12"/>
  <c r="AZ6" i="12"/>
  <c r="AY6" i="12"/>
  <c r="AX6" i="12"/>
  <c r="AW6" i="12"/>
  <c r="AS6" i="12"/>
  <c r="AR6" i="12"/>
  <c r="AU6" i="12"/>
  <c r="AQ6" i="12"/>
  <c r="T6" i="12"/>
  <c r="S6" i="12"/>
  <c r="R6" i="12"/>
  <c r="Q6" i="12"/>
  <c r="P6" i="12"/>
  <c r="O6" i="12"/>
  <c r="J6" i="12"/>
  <c r="I6" i="12"/>
  <c r="G6" i="12"/>
  <c r="B6" i="12"/>
  <c r="BB5" i="12"/>
  <c r="BA5" i="12"/>
  <c r="AZ5" i="12"/>
  <c r="AY5" i="12"/>
  <c r="AX5" i="12"/>
  <c r="AW5" i="12"/>
  <c r="AS5" i="12"/>
  <c r="AR5" i="12"/>
  <c r="AU5" i="12"/>
  <c r="AQ5" i="12"/>
  <c r="T5" i="12"/>
  <c r="S5" i="12"/>
  <c r="R5" i="12"/>
  <c r="Q5" i="12"/>
  <c r="P5" i="12"/>
  <c r="O5" i="12"/>
  <c r="J5" i="12"/>
  <c r="I5" i="12"/>
  <c r="G5" i="12"/>
  <c r="B5" i="12"/>
  <c r="BB4" i="12"/>
  <c r="BA4" i="12"/>
  <c r="AZ4" i="12"/>
  <c r="AY4" i="12"/>
  <c r="AX4" i="12"/>
  <c r="AW4" i="12"/>
  <c r="AS4" i="12"/>
  <c r="AR4" i="12"/>
  <c r="AU4" i="12"/>
  <c r="AQ4" i="12"/>
  <c r="T4" i="12"/>
  <c r="S4" i="12"/>
  <c r="R4" i="12"/>
  <c r="Q4" i="12"/>
  <c r="P4" i="12"/>
  <c r="O4" i="12"/>
  <c r="J4" i="12"/>
  <c r="I4" i="12"/>
  <c r="G4" i="12"/>
  <c r="B4" i="12"/>
  <c r="O99" i="11"/>
  <c r="P99" i="11"/>
  <c r="Q99" i="11"/>
  <c r="O98" i="11"/>
  <c r="P98" i="11"/>
  <c r="Q98" i="11"/>
  <c r="O97" i="11"/>
  <c r="P97" i="11"/>
  <c r="Q97" i="11"/>
  <c r="O96" i="11"/>
  <c r="P96" i="11"/>
  <c r="Q96" i="11"/>
  <c r="O95" i="11"/>
  <c r="P95" i="11"/>
  <c r="Q95" i="11"/>
  <c r="O94" i="11"/>
  <c r="P94" i="11"/>
  <c r="Q94" i="11"/>
  <c r="O93" i="11"/>
  <c r="P93" i="11"/>
  <c r="Q93" i="11"/>
  <c r="O92" i="11"/>
  <c r="P92" i="11"/>
  <c r="Q92" i="11"/>
  <c r="O91" i="11"/>
  <c r="P91" i="11"/>
  <c r="Q91" i="11"/>
  <c r="O90" i="11"/>
  <c r="P90" i="11"/>
  <c r="Q90" i="11"/>
  <c r="O89" i="11"/>
  <c r="P89" i="11"/>
  <c r="Q89" i="11"/>
  <c r="O88" i="11"/>
  <c r="P88" i="11"/>
  <c r="Q88" i="11"/>
  <c r="O87" i="11"/>
  <c r="P87" i="11"/>
  <c r="Q87" i="11"/>
  <c r="O86" i="11"/>
  <c r="P86" i="11"/>
  <c r="Q86" i="11"/>
  <c r="O85" i="11"/>
  <c r="P85" i="11"/>
  <c r="Q85" i="11"/>
  <c r="O84" i="11"/>
  <c r="P84" i="11"/>
  <c r="Q84" i="11"/>
  <c r="O83" i="11"/>
  <c r="P83" i="11"/>
  <c r="Q83" i="11"/>
  <c r="O82" i="11"/>
  <c r="P82" i="11"/>
  <c r="Q82" i="11"/>
  <c r="O81" i="11"/>
  <c r="P81" i="11"/>
  <c r="Q81" i="11"/>
  <c r="O80" i="11"/>
  <c r="P80" i="11"/>
  <c r="Q80" i="11"/>
  <c r="O79" i="11"/>
  <c r="P79" i="11"/>
  <c r="Q79" i="11"/>
  <c r="O78" i="11"/>
  <c r="P78" i="11"/>
  <c r="Q78" i="11"/>
  <c r="O77" i="11"/>
  <c r="P77" i="11"/>
  <c r="Q77" i="11"/>
  <c r="O76" i="11"/>
  <c r="P76" i="11"/>
  <c r="Q76" i="11"/>
  <c r="O75" i="11"/>
  <c r="P75" i="11"/>
  <c r="Q75" i="11"/>
  <c r="O74" i="11"/>
  <c r="P74" i="11"/>
  <c r="Q74" i="11"/>
  <c r="O73" i="11"/>
  <c r="P73" i="11"/>
  <c r="Q73" i="11"/>
  <c r="O72" i="11"/>
  <c r="P72" i="11"/>
  <c r="Q72" i="11"/>
  <c r="O71" i="11"/>
  <c r="P71" i="11"/>
  <c r="Q71" i="11"/>
  <c r="O70" i="11"/>
  <c r="P70" i="11"/>
  <c r="Q70" i="11"/>
  <c r="O69" i="11"/>
  <c r="P69" i="11"/>
  <c r="Q69" i="11"/>
  <c r="O68" i="11"/>
  <c r="P68" i="11"/>
  <c r="Q68" i="11"/>
  <c r="O67" i="11"/>
  <c r="P67" i="11"/>
  <c r="Q67" i="11"/>
  <c r="O66" i="11"/>
  <c r="P66" i="11"/>
  <c r="Q66" i="11"/>
  <c r="O65" i="11"/>
  <c r="P65" i="11"/>
  <c r="Q65" i="11"/>
  <c r="O64" i="11"/>
  <c r="P64" i="11"/>
  <c r="Q64" i="11"/>
  <c r="O63" i="11"/>
  <c r="P63" i="11"/>
  <c r="Q63" i="11"/>
  <c r="O62" i="11"/>
  <c r="P62" i="11"/>
  <c r="Q62" i="11"/>
  <c r="O61" i="11"/>
  <c r="P61" i="11"/>
  <c r="Q61" i="11"/>
  <c r="O60" i="11"/>
  <c r="P60" i="11"/>
  <c r="Q60" i="11"/>
  <c r="O59" i="11"/>
  <c r="P59" i="11"/>
  <c r="Q59" i="11"/>
  <c r="O58" i="11"/>
  <c r="P58" i="11"/>
  <c r="Q58" i="11"/>
  <c r="O57" i="11"/>
  <c r="P57" i="11"/>
  <c r="Q57" i="11"/>
  <c r="O56" i="11"/>
  <c r="P56" i="11"/>
  <c r="Q56" i="11"/>
  <c r="O55" i="11"/>
  <c r="P55" i="11"/>
  <c r="Q55" i="11"/>
  <c r="O54" i="11"/>
  <c r="P54" i="11"/>
  <c r="Q54" i="11"/>
  <c r="O53" i="11"/>
  <c r="P53" i="11"/>
  <c r="Q53" i="11"/>
  <c r="O52" i="11"/>
  <c r="P52" i="11"/>
  <c r="Q52" i="11"/>
  <c r="O51" i="11"/>
  <c r="P51" i="11"/>
  <c r="Q51" i="11"/>
  <c r="O50" i="11"/>
  <c r="P50" i="11"/>
  <c r="Q50" i="11"/>
  <c r="O49" i="11"/>
  <c r="P49" i="11"/>
  <c r="Q49" i="11"/>
  <c r="O48" i="11"/>
  <c r="P48" i="11"/>
  <c r="Q48" i="11"/>
  <c r="O47" i="11"/>
  <c r="P47" i="11"/>
  <c r="Q47" i="11"/>
  <c r="O46" i="11"/>
  <c r="P46" i="11"/>
  <c r="Q46" i="11"/>
  <c r="O45" i="11"/>
  <c r="P45" i="11"/>
  <c r="Q45" i="11"/>
  <c r="O44" i="11"/>
  <c r="P44" i="11"/>
  <c r="Q44" i="11"/>
  <c r="O43" i="11"/>
  <c r="P43" i="11"/>
  <c r="Q43" i="11"/>
  <c r="O42" i="11"/>
  <c r="P42" i="11"/>
  <c r="Q42" i="11"/>
  <c r="O41" i="11"/>
  <c r="P41" i="11"/>
  <c r="Q41" i="11"/>
  <c r="O40" i="11"/>
  <c r="P40" i="11"/>
  <c r="Q40" i="11"/>
  <c r="O39" i="11"/>
  <c r="P39" i="11"/>
  <c r="Q39" i="11"/>
  <c r="O38" i="11"/>
  <c r="P38" i="11"/>
  <c r="Q38" i="11"/>
  <c r="O37" i="11"/>
  <c r="P37" i="11"/>
  <c r="Q37" i="11"/>
  <c r="O36" i="11"/>
  <c r="P36" i="11"/>
  <c r="Q36" i="11"/>
  <c r="O35" i="11"/>
  <c r="P35" i="11"/>
  <c r="Q35" i="11"/>
  <c r="O34" i="11"/>
  <c r="P34" i="11"/>
  <c r="Q34" i="11"/>
  <c r="O33" i="11"/>
  <c r="P33" i="11"/>
  <c r="Q33" i="11"/>
  <c r="O32" i="11"/>
  <c r="P32" i="11"/>
  <c r="Q32" i="11"/>
  <c r="O31" i="11"/>
  <c r="P31" i="11"/>
  <c r="Q31" i="11"/>
  <c r="O30" i="11"/>
  <c r="P30" i="11"/>
  <c r="Q30" i="11"/>
  <c r="O29" i="11"/>
  <c r="P29" i="11"/>
  <c r="Q29" i="11"/>
  <c r="O28" i="11"/>
  <c r="P28" i="11"/>
  <c r="Q28" i="11"/>
  <c r="O27" i="11"/>
  <c r="P27" i="11"/>
  <c r="Q27" i="11"/>
  <c r="O26" i="11"/>
  <c r="P26" i="11"/>
  <c r="Q26" i="11"/>
  <c r="O25" i="11"/>
  <c r="P25" i="11"/>
  <c r="Q25" i="11"/>
  <c r="O24" i="11"/>
  <c r="P24" i="11"/>
  <c r="Q24" i="11"/>
  <c r="O23" i="11"/>
  <c r="P23" i="11"/>
  <c r="Q23" i="11"/>
  <c r="O22" i="11"/>
  <c r="P22" i="11"/>
  <c r="Q22" i="11"/>
  <c r="O21" i="11"/>
  <c r="P21" i="11"/>
  <c r="Q21" i="11"/>
  <c r="O20" i="11"/>
  <c r="P20" i="11"/>
  <c r="Q20" i="11"/>
  <c r="O19" i="11"/>
  <c r="P19" i="11"/>
  <c r="Q19" i="11"/>
  <c r="O18" i="11"/>
  <c r="P18" i="11"/>
  <c r="Q18" i="11"/>
  <c r="O17" i="11"/>
  <c r="P17" i="11"/>
  <c r="Q17" i="11"/>
  <c r="O16" i="11"/>
  <c r="P16" i="11"/>
  <c r="Q16" i="11"/>
  <c r="O15" i="11"/>
  <c r="P15" i="11"/>
  <c r="Q15" i="11"/>
  <c r="O14" i="11"/>
  <c r="P14" i="11"/>
  <c r="Q14" i="11"/>
  <c r="O13" i="11"/>
  <c r="P13" i="11"/>
  <c r="Q13" i="11"/>
  <c r="O12" i="11"/>
  <c r="P12" i="11"/>
  <c r="Q12" i="11"/>
  <c r="O11" i="11"/>
  <c r="P11" i="11"/>
  <c r="Q11" i="11"/>
  <c r="O10" i="11"/>
  <c r="P10" i="11"/>
  <c r="Q10" i="11"/>
  <c r="O9" i="11"/>
  <c r="P9" i="11"/>
  <c r="Q9" i="11"/>
  <c r="O8" i="11"/>
  <c r="P8" i="11"/>
  <c r="Q8" i="11"/>
  <c r="O7" i="11"/>
  <c r="P7" i="11"/>
  <c r="Q7" i="11"/>
  <c r="O6" i="11"/>
  <c r="P6" i="11"/>
  <c r="Q6" i="11"/>
  <c r="O5" i="11"/>
  <c r="P5" i="11"/>
  <c r="Q5" i="11"/>
  <c r="O4" i="11"/>
  <c r="P4" i="11"/>
  <c r="Q4" i="11"/>
  <c r="O3" i="11"/>
  <c r="P3" i="11"/>
  <c r="Q3" i="11"/>
  <c r="O2" i="11"/>
  <c r="P2" i="11"/>
  <c r="Q2" i="11"/>
  <c r="AU73" i="12"/>
  <c r="AU101" i="12"/>
  <c r="AU137" i="12"/>
  <c r="AU141" i="12"/>
  <c r="AU83" i="12"/>
  <c r="AU87" i="12"/>
  <c r="AU127" i="12"/>
  <c r="AU143" i="12"/>
  <c r="T151" i="9"/>
  <c r="F151" i="9"/>
  <c r="T150" i="9"/>
  <c r="F150" i="9"/>
  <c r="T149" i="9"/>
  <c r="F149" i="9"/>
  <c r="T148" i="9"/>
  <c r="F148" i="9"/>
  <c r="T147" i="9"/>
  <c r="F147" i="9"/>
  <c r="T146" i="9"/>
  <c r="F146" i="9"/>
  <c r="T145" i="9"/>
  <c r="F145" i="9"/>
  <c r="T144" i="9"/>
  <c r="F144" i="9"/>
  <c r="T143" i="9"/>
  <c r="F143" i="9"/>
  <c r="T142" i="9"/>
  <c r="F142" i="9"/>
  <c r="T141" i="9"/>
  <c r="F141" i="9"/>
  <c r="T140" i="9"/>
  <c r="F140" i="9"/>
  <c r="T139" i="9"/>
  <c r="F139" i="9"/>
  <c r="T138" i="9"/>
  <c r="F138" i="9"/>
  <c r="T137" i="9"/>
  <c r="F137" i="9"/>
  <c r="T136" i="9"/>
  <c r="F136" i="9"/>
  <c r="T135" i="9"/>
  <c r="F135" i="9"/>
  <c r="T134" i="9"/>
  <c r="F134" i="9"/>
  <c r="T133" i="9"/>
  <c r="F133" i="9"/>
  <c r="T132" i="9"/>
  <c r="F132" i="9"/>
  <c r="T131" i="9"/>
  <c r="F131" i="9"/>
  <c r="T130" i="9"/>
  <c r="F130" i="9"/>
  <c r="T129" i="9"/>
  <c r="F129" i="9"/>
  <c r="T128" i="9"/>
  <c r="F128" i="9"/>
  <c r="T127" i="9"/>
  <c r="F127" i="9"/>
  <c r="T126" i="9"/>
  <c r="F126" i="9"/>
  <c r="T125" i="9"/>
  <c r="F125" i="9"/>
  <c r="T124" i="9"/>
  <c r="F124" i="9"/>
  <c r="T123" i="9"/>
  <c r="F123" i="9"/>
  <c r="T122" i="9"/>
  <c r="F122" i="9"/>
  <c r="T121" i="9"/>
  <c r="F121" i="9"/>
  <c r="T120" i="9"/>
  <c r="F120" i="9"/>
  <c r="T119" i="9"/>
  <c r="F119" i="9"/>
  <c r="T118" i="9"/>
  <c r="F118" i="9"/>
  <c r="T117" i="9"/>
  <c r="F117" i="9"/>
  <c r="T116" i="9"/>
  <c r="F116" i="9"/>
  <c r="T115" i="9"/>
  <c r="F115" i="9"/>
  <c r="T114" i="9"/>
  <c r="F114" i="9"/>
  <c r="T113" i="9"/>
  <c r="F113" i="9"/>
  <c r="T112" i="9"/>
  <c r="F112" i="9"/>
  <c r="T111" i="9"/>
  <c r="F111" i="9"/>
  <c r="T110" i="9"/>
  <c r="F110" i="9"/>
  <c r="T109" i="9"/>
  <c r="F109" i="9"/>
  <c r="T108" i="9"/>
  <c r="F108" i="9"/>
  <c r="T107" i="9"/>
  <c r="F107" i="9"/>
  <c r="T106" i="9"/>
  <c r="F106" i="9"/>
  <c r="T105" i="9"/>
  <c r="F105" i="9"/>
  <c r="T104" i="9"/>
  <c r="F104" i="9"/>
  <c r="T103" i="9"/>
  <c r="F103" i="9"/>
  <c r="T102" i="9"/>
  <c r="F102" i="9"/>
  <c r="T101" i="9"/>
  <c r="F101" i="9"/>
  <c r="T100" i="9"/>
  <c r="F100" i="9"/>
  <c r="T99" i="9"/>
  <c r="F99" i="9"/>
  <c r="T98" i="9"/>
  <c r="F98" i="9"/>
  <c r="T97" i="9"/>
  <c r="F97" i="9"/>
  <c r="T96" i="9"/>
  <c r="F96" i="9"/>
  <c r="T95" i="9"/>
  <c r="F95" i="9"/>
  <c r="T94" i="9"/>
  <c r="F94" i="9"/>
  <c r="T93" i="9"/>
  <c r="F93" i="9"/>
  <c r="T92" i="9"/>
  <c r="F92" i="9"/>
  <c r="T91" i="9"/>
  <c r="F91" i="9"/>
  <c r="T90" i="9"/>
  <c r="F90" i="9"/>
  <c r="T89" i="9"/>
  <c r="F89" i="9"/>
  <c r="T88" i="9"/>
  <c r="F88" i="9"/>
  <c r="T87" i="9"/>
  <c r="F87" i="9"/>
  <c r="T86" i="9"/>
  <c r="F86" i="9"/>
  <c r="T85" i="9"/>
  <c r="F85" i="9"/>
  <c r="T84" i="9"/>
  <c r="F84" i="9"/>
  <c r="T83" i="9"/>
  <c r="F83" i="9"/>
  <c r="T82" i="9"/>
  <c r="F82" i="9"/>
  <c r="T81" i="9"/>
  <c r="F81" i="9"/>
  <c r="T80" i="9"/>
  <c r="F80" i="9"/>
  <c r="T79" i="9"/>
  <c r="F79" i="9"/>
  <c r="T78" i="9"/>
  <c r="F78" i="9"/>
  <c r="T77" i="9"/>
  <c r="F77" i="9"/>
  <c r="T76" i="9"/>
  <c r="F76" i="9"/>
  <c r="T75" i="9"/>
  <c r="F75" i="9"/>
  <c r="T74" i="9"/>
  <c r="F74" i="9"/>
  <c r="T73" i="9"/>
  <c r="F73" i="9"/>
  <c r="T72" i="9"/>
  <c r="F72" i="9"/>
  <c r="T71" i="9"/>
  <c r="F71" i="9"/>
  <c r="T70" i="9"/>
  <c r="F70" i="9"/>
  <c r="T69" i="9"/>
  <c r="F69" i="9"/>
  <c r="T68" i="9"/>
  <c r="F68" i="9"/>
  <c r="T67" i="9"/>
  <c r="F67" i="9"/>
  <c r="T66" i="9"/>
  <c r="F66" i="9"/>
  <c r="T65" i="9"/>
  <c r="F65" i="9"/>
  <c r="T64" i="9"/>
  <c r="F64" i="9"/>
  <c r="T63" i="9"/>
  <c r="F63" i="9"/>
  <c r="T62" i="9"/>
  <c r="F62" i="9"/>
  <c r="T61" i="9"/>
  <c r="F61" i="9"/>
  <c r="T60" i="9"/>
  <c r="F60" i="9"/>
  <c r="T59" i="9"/>
  <c r="F59" i="9"/>
  <c r="T58" i="9"/>
  <c r="F58" i="9"/>
  <c r="T57" i="9"/>
  <c r="F57" i="9"/>
  <c r="T56" i="9"/>
  <c r="F56" i="9"/>
  <c r="T55" i="9"/>
  <c r="F55" i="9"/>
  <c r="T54" i="9"/>
  <c r="F54" i="9"/>
  <c r="T53" i="9"/>
  <c r="F53" i="9"/>
  <c r="T52" i="9"/>
  <c r="F52" i="9"/>
  <c r="T51" i="9"/>
  <c r="F51" i="9"/>
  <c r="T50" i="9"/>
  <c r="F50" i="9"/>
  <c r="T49" i="9"/>
  <c r="F49" i="9"/>
  <c r="T48" i="9"/>
  <c r="F48" i="9"/>
  <c r="T47" i="9"/>
  <c r="F47" i="9"/>
  <c r="T46" i="9"/>
  <c r="F46" i="9"/>
  <c r="T45" i="9"/>
  <c r="F45" i="9"/>
  <c r="T44" i="9"/>
  <c r="F44" i="9"/>
  <c r="T43" i="9"/>
  <c r="F43" i="9"/>
  <c r="T42" i="9"/>
  <c r="F42" i="9"/>
  <c r="T41" i="9"/>
  <c r="F41" i="9"/>
  <c r="T40" i="9"/>
  <c r="F40" i="9"/>
  <c r="T39" i="9"/>
  <c r="F39" i="9"/>
  <c r="T38" i="9"/>
  <c r="F38" i="9"/>
  <c r="T37" i="9"/>
  <c r="F37" i="9"/>
  <c r="T36" i="9"/>
  <c r="F36" i="9"/>
  <c r="T35" i="9"/>
  <c r="F35" i="9"/>
  <c r="T34" i="9"/>
  <c r="F34" i="9"/>
  <c r="T33" i="9"/>
  <c r="F33" i="9"/>
  <c r="T32" i="9"/>
  <c r="F32" i="9"/>
  <c r="T31" i="9"/>
  <c r="F31" i="9"/>
  <c r="T30" i="9"/>
  <c r="F30" i="9"/>
  <c r="T29" i="9"/>
  <c r="F29" i="9"/>
  <c r="T28" i="9"/>
  <c r="F28" i="9"/>
  <c r="T27" i="9"/>
  <c r="F27" i="9"/>
  <c r="T26" i="9"/>
  <c r="F26" i="9"/>
  <c r="T25" i="9"/>
  <c r="F25" i="9"/>
  <c r="T24" i="9"/>
  <c r="F24" i="9"/>
  <c r="T23" i="9"/>
  <c r="F23" i="9"/>
  <c r="T22" i="9"/>
  <c r="F22" i="9"/>
  <c r="T21" i="9"/>
  <c r="F21" i="9"/>
  <c r="T20" i="9"/>
  <c r="F20" i="9"/>
  <c r="T19" i="9"/>
  <c r="F19" i="9"/>
  <c r="T18" i="9"/>
  <c r="F18" i="9"/>
  <c r="T17" i="9"/>
  <c r="F17" i="9"/>
  <c r="T16" i="9"/>
  <c r="F16" i="9"/>
  <c r="T15" i="9"/>
  <c r="F15" i="9"/>
  <c r="T14" i="9"/>
  <c r="F14" i="9"/>
  <c r="T13" i="9"/>
  <c r="F13" i="9"/>
  <c r="T12" i="9"/>
  <c r="F12" i="9"/>
  <c r="T11" i="9"/>
  <c r="F11" i="9"/>
  <c r="T10" i="9"/>
  <c r="F10" i="9"/>
  <c r="T9" i="9"/>
  <c r="F9" i="9"/>
  <c r="T8" i="9"/>
  <c r="F8" i="9"/>
  <c r="F7" i="9"/>
  <c r="F6" i="9"/>
  <c r="F5" i="9"/>
  <c r="F4" i="9"/>
  <c r="F3" i="9"/>
  <c r="DE131" i="8"/>
  <c r="DE132" i="8"/>
  <c r="DE127" i="8"/>
  <c r="DE126" i="8"/>
  <c r="DE125" i="8"/>
  <c r="DE124" i="8"/>
  <c r="DE123" i="8"/>
  <c r="DE122" i="8"/>
  <c r="DE121" i="8"/>
  <c r="DE120" i="8"/>
  <c r="DE119" i="8"/>
  <c r="DE118" i="8"/>
  <c r="DE117" i="8"/>
  <c r="DE116" i="8"/>
  <c r="DE115" i="8"/>
  <c r="DE114" i="8"/>
  <c r="DE113" i="8"/>
  <c r="DE112" i="8"/>
  <c r="DE111" i="8"/>
  <c r="DE110" i="8"/>
  <c r="DE109" i="8"/>
  <c r="DE108" i="8"/>
  <c r="DE107" i="8"/>
  <c r="DE106" i="8"/>
  <c r="DE105" i="8"/>
  <c r="DE104" i="8"/>
  <c r="DE103" i="8"/>
  <c r="DE102" i="8"/>
  <c r="DE101" i="8"/>
  <c r="DE100" i="8"/>
  <c r="DE99" i="8"/>
  <c r="DE98" i="8"/>
  <c r="DE97" i="8"/>
  <c r="DE96" i="8"/>
  <c r="DE95" i="8"/>
  <c r="DE94" i="8"/>
  <c r="DE93" i="8"/>
  <c r="DE92" i="8"/>
  <c r="DE91" i="8"/>
  <c r="DE90" i="8"/>
  <c r="DE89" i="8"/>
  <c r="DE88" i="8"/>
  <c r="DE87" i="8"/>
  <c r="DE86" i="8"/>
  <c r="DE85" i="8"/>
  <c r="DE84" i="8"/>
  <c r="DE83" i="8"/>
  <c r="DE82" i="8"/>
  <c r="DE81" i="8"/>
  <c r="DE80" i="8"/>
  <c r="DE79" i="8"/>
  <c r="DE78" i="8"/>
  <c r="DE77" i="8"/>
  <c r="DE76" i="8"/>
  <c r="DE75" i="8"/>
  <c r="DE74" i="8"/>
  <c r="DE73" i="8"/>
  <c r="DE72" i="8"/>
  <c r="DE71" i="8"/>
  <c r="DE70" i="8"/>
  <c r="DE69" i="8"/>
  <c r="DE68" i="8"/>
  <c r="DE67" i="8"/>
  <c r="DE66" i="8"/>
  <c r="DE65" i="8"/>
  <c r="DE64" i="8"/>
  <c r="DE63" i="8"/>
  <c r="DE62" i="8"/>
  <c r="DE61" i="8"/>
  <c r="DE60" i="8"/>
  <c r="DE59" i="8"/>
  <c r="DE58" i="8"/>
  <c r="DE57" i="8"/>
  <c r="DE56" i="8"/>
  <c r="DE55" i="8"/>
  <c r="DE54" i="8"/>
  <c r="DE53" i="8"/>
  <c r="DE52" i="8"/>
  <c r="DE51" i="8"/>
  <c r="DE50" i="8"/>
  <c r="DE49" i="8"/>
  <c r="DE48" i="8"/>
  <c r="DE47" i="8"/>
  <c r="DE46" i="8"/>
  <c r="DE45" i="8"/>
  <c r="DE44" i="8"/>
  <c r="DE43" i="8"/>
  <c r="DE42" i="8"/>
  <c r="DE41" i="8"/>
  <c r="DE40" i="8"/>
  <c r="DE39" i="8"/>
  <c r="DE38" i="8"/>
  <c r="DE37" i="8"/>
  <c r="DE36" i="8"/>
  <c r="DE35" i="8"/>
  <c r="DE34" i="8"/>
  <c r="DE33" i="8"/>
  <c r="DE32" i="8"/>
  <c r="DE31" i="8"/>
  <c r="DE30" i="8"/>
  <c r="DE29" i="8"/>
  <c r="DE28" i="8"/>
  <c r="DE27" i="8"/>
  <c r="DE26" i="8"/>
  <c r="DE25" i="8"/>
  <c r="DE24" i="8"/>
  <c r="DE23" i="8"/>
  <c r="DE22" i="8"/>
  <c r="DE21" i="8"/>
  <c r="DE20" i="8"/>
  <c r="DE19" i="8"/>
  <c r="DE18" i="8"/>
  <c r="DE17" i="8"/>
  <c r="DE16" i="8"/>
  <c r="DE15" i="8"/>
  <c r="DE14" i="8"/>
  <c r="DE13" i="8"/>
  <c r="DE12" i="8"/>
  <c r="DE11" i="8"/>
  <c r="DE10" i="8"/>
  <c r="DE9" i="8"/>
  <c r="DE8" i="8"/>
  <c r="DE7" i="8"/>
  <c r="DE6" i="8"/>
  <c r="DE5" i="8"/>
  <c r="DE4" i="8"/>
  <c r="DE3" i="8"/>
  <c r="DE2" i="8"/>
  <c r="DE129" i="8"/>
  <c r="BI66" i="7"/>
  <c r="BI67" i="7"/>
  <c r="BI62" i="7"/>
  <c r="BI61" i="7"/>
  <c r="BI60" i="7"/>
  <c r="BI59" i="7"/>
  <c r="BI58" i="7"/>
  <c r="BI57" i="7"/>
  <c r="BI56" i="7"/>
  <c r="BI55" i="7"/>
  <c r="BI54" i="7"/>
  <c r="BI53" i="7"/>
  <c r="BI52" i="7"/>
  <c r="BI51" i="7"/>
  <c r="BI50" i="7"/>
  <c r="BI49" i="7"/>
  <c r="BI48" i="7"/>
  <c r="BI47" i="7"/>
  <c r="BI46" i="7"/>
  <c r="BI45" i="7"/>
  <c r="BI44" i="7"/>
  <c r="BI43" i="7"/>
  <c r="BI42" i="7"/>
  <c r="BI41" i="7"/>
  <c r="BI40" i="7"/>
  <c r="BI39" i="7"/>
  <c r="BI38" i="7"/>
  <c r="BI37" i="7"/>
  <c r="BI36" i="7"/>
  <c r="BI35" i="7"/>
  <c r="BI34" i="7"/>
  <c r="BI33" i="7"/>
  <c r="BI32" i="7"/>
  <c r="BI31" i="7"/>
  <c r="BI30" i="7"/>
  <c r="BI29" i="7"/>
  <c r="BI28" i="7"/>
  <c r="BI27" i="7"/>
  <c r="BI26" i="7"/>
  <c r="BI25" i="7"/>
  <c r="BI24" i="7"/>
  <c r="BI23" i="7"/>
  <c r="BI22" i="7"/>
  <c r="BI21" i="7"/>
  <c r="BI20" i="7"/>
  <c r="BI19" i="7"/>
  <c r="BI18" i="7"/>
  <c r="BI17" i="7"/>
  <c r="BI16" i="7"/>
  <c r="BI15" i="7"/>
  <c r="BI14" i="7"/>
  <c r="BI13" i="7"/>
  <c r="BI12" i="7"/>
  <c r="BI11" i="7"/>
  <c r="BI10" i="7"/>
  <c r="BI9" i="7"/>
  <c r="BI8" i="7"/>
  <c r="BI7" i="7"/>
  <c r="BI6" i="7"/>
  <c r="BI5" i="7"/>
  <c r="BI4" i="7"/>
  <c r="BI2" i="7"/>
  <c r="BI3" i="7"/>
  <c r="BI64" i="7"/>
  <c r="BI44" i="6"/>
  <c r="BI45" i="6"/>
  <c r="BI40" i="6"/>
  <c r="BI39" i="6"/>
  <c r="BI38" i="6"/>
  <c r="BI37" i="6"/>
  <c r="BI36" i="6"/>
  <c r="BI35" i="6"/>
  <c r="BI34" i="6"/>
  <c r="BI33" i="6"/>
  <c r="BI32" i="6"/>
  <c r="BI31" i="6"/>
  <c r="BI30" i="6"/>
  <c r="BI29" i="6"/>
  <c r="BI28" i="6"/>
  <c r="BI27" i="6"/>
  <c r="BI26" i="6"/>
  <c r="BI25" i="6"/>
  <c r="BI24" i="6"/>
  <c r="BI23" i="6"/>
  <c r="BI22" i="6"/>
  <c r="BI21" i="6"/>
  <c r="BI20" i="6"/>
  <c r="BI19" i="6"/>
  <c r="BI18" i="6"/>
  <c r="BI17" i="6"/>
  <c r="BI16" i="6"/>
  <c r="BI15" i="6"/>
  <c r="BI14" i="6"/>
  <c r="BI13" i="6"/>
  <c r="BI12" i="6"/>
  <c r="BI11" i="6"/>
  <c r="BI10" i="6"/>
  <c r="BI9" i="6"/>
  <c r="BI8" i="6"/>
  <c r="BI7" i="6"/>
  <c r="BI6" i="6"/>
  <c r="BI5" i="6"/>
  <c r="BI2" i="6"/>
  <c r="BI3" i="6"/>
  <c r="BI4" i="6"/>
  <c r="BI42" i="6"/>
  <c r="BI67" i="5"/>
  <c r="BI68" i="5"/>
  <c r="BI63" i="5"/>
  <c r="BI62" i="5"/>
  <c r="BI61" i="5"/>
  <c r="BI60" i="5"/>
  <c r="BI59" i="5"/>
  <c r="BI58" i="5"/>
  <c r="BI57" i="5"/>
  <c r="BI56" i="5"/>
  <c r="BI55" i="5"/>
  <c r="BI54" i="5"/>
  <c r="BI53" i="5"/>
  <c r="BI52" i="5"/>
  <c r="BI51" i="5"/>
  <c r="BI50" i="5"/>
  <c r="BI49" i="5"/>
  <c r="BI48" i="5"/>
  <c r="BI47" i="5"/>
  <c r="BI46" i="5"/>
  <c r="BI45" i="5"/>
  <c r="BI44" i="5"/>
  <c r="BI43" i="5"/>
  <c r="BI42" i="5"/>
  <c r="BI41" i="5"/>
  <c r="BI40" i="5"/>
  <c r="BI39" i="5"/>
  <c r="BI38" i="5"/>
  <c r="BI37" i="5"/>
  <c r="BI36" i="5"/>
  <c r="BI35" i="5"/>
  <c r="BI34" i="5"/>
  <c r="BI33" i="5"/>
  <c r="BI32" i="5"/>
  <c r="BI31" i="5"/>
  <c r="BI30" i="5"/>
  <c r="BI29" i="5"/>
  <c r="BI28" i="5"/>
  <c r="BI27" i="5"/>
  <c r="BI26" i="5"/>
  <c r="BI25" i="5"/>
  <c r="BI24" i="5"/>
  <c r="BI23" i="5"/>
  <c r="BI22" i="5"/>
  <c r="BI21" i="5"/>
  <c r="BI20" i="5"/>
  <c r="BI19" i="5"/>
  <c r="BI18" i="5"/>
  <c r="BI17" i="5"/>
  <c r="BI16" i="5"/>
  <c r="BI15" i="5"/>
  <c r="BI14" i="5"/>
  <c r="BI13" i="5"/>
  <c r="BI12" i="5"/>
  <c r="BI11" i="5"/>
  <c r="BI10" i="5"/>
  <c r="BI9" i="5"/>
  <c r="BI8" i="5"/>
  <c r="BI7" i="5"/>
  <c r="BI6" i="5"/>
  <c r="BI5" i="5"/>
  <c r="BI4" i="5"/>
  <c r="BI3" i="5"/>
  <c r="BI2" i="5"/>
  <c r="BI65" i="5"/>
  <c r="BJ43" i="17"/>
  <c r="BP43" i="17"/>
  <c r="BQ43" i="17"/>
  <c r="BJ77" i="17"/>
  <c r="BP77" i="17"/>
  <c r="BQ77" i="17"/>
  <c r="BJ37" i="17"/>
  <c r="BP37" i="17"/>
  <c r="BQ37" i="17"/>
  <c r="BJ11" i="17"/>
  <c r="BP11" i="17"/>
  <c r="BQ11" i="17"/>
  <c r="BJ90" i="17"/>
  <c r="BP90" i="17"/>
  <c r="BQ90" i="17"/>
  <c r="BJ132" i="17"/>
  <c r="BP132" i="17"/>
  <c r="BQ132" i="17"/>
  <c r="BJ41" i="17"/>
  <c r="BP41" i="17"/>
  <c r="BQ41" i="17"/>
  <c r="BJ52" i="17"/>
  <c r="BP52" i="17"/>
  <c r="BQ52" i="17"/>
  <c r="BP99" i="17"/>
  <c r="BQ99" i="17"/>
  <c r="BJ103" i="17"/>
  <c r="BP103" i="17"/>
  <c r="BQ103" i="17"/>
  <c r="BJ141" i="17"/>
  <c r="BP141" i="17"/>
  <c r="BQ141" i="17"/>
  <c r="BJ102" i="17"/>
  <c r="BP102" i="17"/>
  <c r="BQ102" i="17"/>
  <c r="BQ108" i="17"/>
  <c r="BJ128" i="17"/>
  <c r="BP128" i="17"/>
  <c r="BQ128" i="17"/>
  <c r="BJ133" i="17"/>
  <c r="BP133" i="17"/>
  <c r="BQ133" i="17"/>
  <c r="AU122" i="12"/>
  <c r="BJ6" i="17"/>
  <c r="BP6" i="17"/>
  <c r="BQ6" i="17"/>
  <c r="BJ38" i="17"/>
  <c r="BP38" i="17"/>
  <c r="BQ38" i="17"/>
  <c r="BJ4" i="17"/>
  <c r="BP4" i="17"/>
  <c r="BQ4" i="17"/>
  <c r="BJ10" i="17"/>
  <c r="BP10" i="17"/>
  <c r="BQ10" i="17"/>
  <c r="BJ14" i="17"/>
  <c r="BP14" i="17"/>
  <c r="BQ14" i="17"/>
  <c r="BJ31" i="17"/>
  <c r="BP31" i="17"/>
  <c r="BQ31" i="17"/>
  <c r="BJ36" i="17"/>
  <c r="BP36" i="17"/>
  <c r="BQ36" i="17"/>
  <c r="BJ49" i="17"/>
  <c r="BP49" i="17"/>
  <c r="BQ49" i="17"/>
  <c r="BJ53" i="17"/>
  <c r="BP53" i="17"/>
  <c r="BQ53" i="17"/>
  <c r="BJ71" i="17"/>
  <c r="BP71" i="17"/>
  <c r="BQ71" i="17"/>
  <c r="BJ18" i="17"/>
  <c r="BP18" i="17"/>
  <c r="BQ18" i="17"/>
  <c r="BP35" i="17"/>
  <c r="BQ35" i="17"/>
  <c r="BJ56" i="17"/>
  <c r="BP56" i="17"/>
  <c r="BQ56" i="17"/>
  <c r="BJ58" i="17"/>
  <c r="BP58" i="17"/>
  <c r="BQ58" i="17"/>
  <c r="BP83" i="17"/>
  <c r="BQ83" i="17"/>
  <c r="BJ92" i="17"/>
  <c r="BP92" i="17"/>
  <c r="BQ92" i="17"/>
  <c r="BJ89" i="17"/>
  <c r="BP89" i="17"/>
  <c r="BQ89" i="17"/>
  <c r="BJ97" i="17"/>
  <c r="BP97" i="17"/>
  <c r="BQ97" i="17"/>
  <c r="BP130" i="17"/>
  <c r="BQ130" i="17"/>
  <c r="AU92" i="12"/>
  <c r="AU112" i="12"/>
  <c r="AU104" i="12"/>
  <c r="AU116" i="12"/>
  <c r="BJ46" i="17"/>
  <c r="BP46" i="17"/>
  <c r="BQ46" i="17"/>
  <c r="BJ34" i="17"/>
  <c r="BP34" i="17"/>
  <c r="BQ34" i="17"/>
  <c r="BJ63" i="17"/>
  <c r="BP63" i="17"/>
  <c r="BQ63" i="17"/>
  <c r="BJ28" i="17"/>
  <c r="BP28" i="17"/>
  <c r="BQ28" i="17"/>
  <c r="BJ42" i="17"/>
  <c r="BP42" i="17"/>
  <c r="BQ42" i="17"/>
  <c r="BJ45" i="17"/>
  <c r="BP45" i="17"/>
  <c r="BQ45" i="17"/>
  <c r="BJ47" i="17"/>
  <c r="BP47" i="17"/>
  <c r="BQ47" i="17"/>
  <c r="BJ59" i="17"/>
  <c r="BP59" i="17"/>
  <c r="BQ59" i="17"/>
  <c r="BJ65" i="17"/>
  <c r="BP65" i="17"/>
  <c r="BQ65" i="17"/>
  <c r="AU99" i="12"/>
  <c r="AU105" i="12"/>
  <c r="AU124" i="12"/>
  <c r="AU71" i="12"/>
  <c r="AU100" i="12"/>
  <c r="AU111" i="12"/>
  <c r="BJ7" i="17"/>
  <c r="BP7" i="17"/>
  <c r="BQ7" i="17"/>
  <c r="BJ8" i="17"/>
  <c r="BP8" i="17"/>
  <c r="BQ8" i="17"/>
  <c r="BJ54" i="17"/>
  <c r="BP54" i="17"/>
  <c r="BQ54" i="17"/>
  <c r="BJ55" i="17"/>
  <c r="BP55" i="17"/>
  <c r="BQ55" i="17"/>
  <c r="BJ119" i="17"/>
  <c r="BP119" i="17"/>
  <c r="BQ119" i="17"/>
  <c r="BJ121" i="17"/>
  <c r="BP121" i="17"/>
  <c r="BQ121" i="17"/>
  <c r="BJ135" i="17"/>
  <c r="BP135" i="17"/>
  <c r="BQ135" i="17"/>
  <c r="BJ21" i="17"/>
  <c r="BP21" i="17"/>
  <c r="BQ21" i="17"/>
  <c r="BJ29" i="17"/>
  <c r="BP29" i="17"/>
  <c r="BQ29" i="17"/>
  <c r="BJ72" i="17"/>
  <c r="BP72" i="17"/>
  <c r="BQ72" i="17"/>
  <c r="BJ143" i="17"/>
  <c r="BP143" i="17"/>
  <c r="BQ143" i="17"/>
  <c r="BJ5" i="17"/>
  <c r="BP5" i="17"/>
  <c r="BQ5" i="17"/>
  <c r="BJ76" i="17"/>
  <c r="BP76" i="17"/>
  <c r="BQ76" i="17"/>
  <c r="BJ87" i="17"/>
  <c r="BP87" i="17"/>
  <c r="BQ87" i="17"/>
  <c r="BJ110" i="17"/>
  <c r="BP110" i="17"/>
  <c r="BQ110" i="17"/>
  <c r="BJ123" i="17"/>
  <c r="BP123" i="17"/>
  <c r="BQ123" i="17"/>
  <c r="BJ145" i="17"/>
  <c r="BP145" i="17"/>
  <c r="BQ145" i="17"/>
  <c r="AU107" i="12"/>
  <c r="AU118" i="12"/>
  <c r="AU77" i="12"/>
  <c r="BJ93" i="17"/>
  <c r="BP93" i="17"/>
  <c r="BQ93" i="17"/>
  <c r="AU76" i="12"/>
  <c r="AU80" i="12"/>
  <c r="AU108" i="12"/>
  <c r="AU120" i="12"/>
  <c r="AU142" i="12"/>
  <c r="BJ109" i="17"/>
  <c r="BP109" i="17"/>
  <c r="BQ109" i="17"/>
  <c r="BJ127" i="17"/>
  <c r="BP127" i="17"/>
  <c r="BQ127" i="17"/>
  <c r="BJ138" i="17"/>
  <c r="BP138" i="17"/>
  <c r="BQ138" i="17"/>
  <c r="BJ146" i="17"/>
  <c r="BP146" i="17"/>
  <c r="BQ146" i="17"/>
  <c r="AU86" i="12"/>
  <c r="AU131" i="12"/>
  <c r="AU140" i="12"/>
  <c r="BJ13" i="17"/>
  <c r="BP13" i="17"/>
  <c r="BQ13" i="17"/>
  <c r="BS2" i="17"/>
  <c r="BJ98" i="17"/>
  <c r="BP98" i="17"/>
  <c r="BQ98" i="17"/>
  <c r="BJ16" i="17"/>
  <c r="BP16" i="17"/>
  <c r="BQ16" i="17"/>
  <c r="BJ24" i="17"/>
  <c r="BP24" i="17"/>
  <c r="BQ24" i="17"/>
  <c r="BJ73" i="17"/>
  <c r="BP73" i="17"/>
  <c r="BQ73" i="17"/>
  <c r="BJ120" i="17"/>
  <c r="BP120" i="17"/>
  <c r="BQ120" i="17"/>
  <c r="BJ126" i="17"/>
  <c r="BP126" i="17"/>
  <c r="BQ126" i="17"/>
  <c r="BJ134" i="17"/>
  <c r="BP134" i="17"/>
  <c r="BQ134" i="17"/>
</calcChain>
</file>

<file path=xl/comments1.xml><?xml version="1.0" encoding="utf-8"?>
<comments xmlns="http://schemas.openxmlformats.org/spreadsheetml/2006/main">
  <authors>
    <author>Andy Yanka</author>
  </authors>
  <commentList>
    <comment ref="A14" authorId="0">
      <text>
        <r>
          <rPr>
            <b/>
            <sz val="9"/>
            <color indexed="81"/>
            <rFont val="Tahoma"/>
            <family val="2"/>
          </rPr>
          <t>This item is a duplicate of another.  It has been formally removed from the Lowes program as of 11/28/17 per Amy V.</t>
        </r>
      </text>
    </comment>
  </commentList>
</comments>
</file>

<file path=xl/comments2.xml><?xml version="1.0" encoding="utf-8"?>
<comments xmlns="http://schemas.openxmlformats.org/spreadsheetml/2006/main">
  <authors>
    <author>Lowe's Companies, Inc.</author>
  </authors>
  <commentList>
    <comment ref="B21" authorId="0">
      <text>
        <r>
          <rPr>
            <b/>
            <sz val="9"/>
            <color indexed="81"/>
            <rFont val="Tahoma"/>
            <family val="2"/>
          </rPr>
          <t>Lowe's Companies, Inc.:</t>
        </r>
        <r>
          <rPr>
            <sz val="9"/>
            <color indexed="81"/>
            <rFont val="Tahoma"/>
            <family val="2"/>
          </rPr>
          <t xml:space="preserve">
5/25 New Quote sheet coming to including</t>
        </r>
      </text>
    </comment>
  </commentList>
</comments>
</file>

<file path=xl/comments3.xml><?xml version="1.0" encoding="utf-8"?>
<comments xmlns="http://schemas.openxmlformats.org/spreadsheetml/2006/main">
  <authors>
    <author>Amy van der Horst</author>
  </authors>
  <commentList>
    <comment ref="H1" authorId="0">
      <text>
        <r>
          <rPr>
            <b/>
            <sz val="8"/>
            <color indexed="81"/>
            <rFont val="Tahoma"/>
            <family val="2"/>
          </rPr>
          <t>Amy van der Horst:</t>
        </r>
        <r>
          <rPr>
            <sz val="8"/>
            <color indexed="81"/>
            <rFont val="Tahoma"/>
            <family val="2"/>
          </rPr>
          <t xml:space="preserve">
this is due to conveyor restrictions at TRAP DC</t>
        </r>
      </text>
    </comment>
    <comment ref="K19" authorId="0">
      <text>
        <r>
          <rPr>
            <b/>
            <sz val="8"/>
            <color indexed="81"/>
            <rFont val="Tahoma"/>
            <family val="2"/>
          </rPr>
          <t>Amy van der Horst:</t>
        </r>
        <r>
          <rPr>
            <sz val="8"/>
            <color indexed="81"/>
            <rFont val="Tahoma"/>
            <family val="2"/>
          </rPr>
          <t xml:space="preserve">
we have $15.23 on our Vendor Quote sheet.  This PO Cost needs to be updated to $15.23
</t>
        </r>
      </text>
    </comment>
    <comment ref="F38" authorId="0">
      <text>
        <r>
          <rPr>
            <b/>
            <sz val="8"/>
            <color indexed="81"/>
            <rFont val="Tahoma"/>
            <family val="2"/>
          </rPr>
          <t>Amy van der Horst:</t>
        </r>
        <r>
          <rPr>
            <sz val="8"/>
            <color indexed="81"/>
            <rFont val="Tahoma"/>
            <family val="2"/>
          </rPr>
          <t xml:space="preserve">
Siri had this as 2J-3C.  This description needs to be updated to 2J-2H.
</t>
        </r>
      </text>
    </comment>
    <comment ref="I99" authorId="0">
      <text>
        <r>
          <rPr>
            <b/>
            <sz val="8"/>
            <color indexed="81"/>
            <rFont val="Tahoma"/>
            <family val="2"/>
          </rPr>
          <t>Amy van der Horst:</t>
        </r>
        <r>
          <rPr>
            <sz val="8"/>
            <color indexed="81"/>
            <rFont val="Tahoma"/>
            <family val="2"/>
          </rPr>
          <t xml:space="preserve">
we will need to adjust this master pack</t>
        </r>
      </text>
    </comment>
  </commentList>
</comments>
</file>

<file path=xl/comments4.xml><?xml version="1.0" encoding="utf-8"?>
<comments xmlns="http://schemas.openxmlformats.org/spreadsheetml/2006/main">
  <authors>
    <author>Gordon Gross</author>
    <author>Lowe's Companies, Inc</author>
  </authors>
  <commentList>
    <comment ref="A3" authorId="0">
      <text>
        <r>
          <rPr>
            <b/>
            <sz val="9"/>
            <color indexed="81"/>
            <rFont val="Tahoma"/>
            <family val="2"/>
          </rPr>
          <t xml:space="preserve">Gordon Gross:
This cell is not right yet. Need to Check with Andrew/Amy. For now filter uing column CC. </t>
        </r>
        <r>
          <rPr>
            <sz val="9"/>
            <color indexed="81"/>
            <rFont val="Tahoma"/>
            <family val="2"/>
          </rPr>
          <t xml:space="preserve">
</t>
        </r>
      </text>
    </comment>
    <comment ref="AM3" authorId="1">
      <text>
        <r>
          <rPr>
            <b/>
            <sz val="9"/>
            <color indexed="81"/>
            <rFont val="Tahoma"/>
            <family val="2"/>
          </rPr>
          <t>Lowe's Companies, Inc:</t>
        </r>
        <r>
          <rPr>
            <sz val="9"/>
            <color indexed="81"/>
            <rFont val="Tahoma"/>
            <family val="2"/>
          </rPr>
          <t xml:space="preserve">
Input Y or N</t>
        </r>
      </text>
    </comment>
    <comment ref="AN3" authorId="1">
      <text>
        <r>
          <rPr>
            <b/>
            <sz val="9"/>
            <color indexed="81"/>
            <rFont val="Tahoma"/>
            <family val="2"/>
          </rPr>
          <t>Lowe's Companies, Inc:</t>
        </r>
        <r>
          <rPr>
            <sz val="9"/>
            <color indexed="81"/>
            <rFont val="Tahoma"/>
            <family val="2"/>
          </rPr>
          <t xml:space="preserve">
Input CXD, Transload, Coastal, Trap, RDC</t>
        </r>
      </text>
    </comment>
    <comment ref="AO3" authorId="1">
      <text>
        <r>
          <rPr>
            <b/>
            <sz val="9"/>
            <color indexed="81"/>
            <rFont val="Tahoma"/>
            <family val="2"/>
          </rPr>
          <t>Lowe's Companies, Inc:</t>
        </r>
        <r>
          <rPr>
            <sz val="9"/>
            <color indexed="81"/>
            <rFont val="Tahoma"/>
            <family val="2"/>
          </rPr>
          <t xml:space="preserve">
Input Import or Domestic</t>
        </r>
      </text>
    </comment>
  </commentList>
</comments>
</file>

<file path=xl/sharedStrings.xml><?xml version="1.0" encoding="utf-8"?>
<sst xmlns="http://schemas.openxmlformats.org/spreadsheetml/2006/main" count="8616" uniqueCount="1897">
  <si>
    <t>Andy</t>
  </si>
  <si>
    <t>PM</t>
  </si>
  <si>
    <t>Direct Entry</t>
  </si>
  <si>
    <t>Drop Down List</t>
  </si>
  <si>
    <t>Name</t>
  </si>
  <si>
    <t>Yes/No</t>
  </si>
  <si>
    <t>Creative/Amy Day</t>
  </si>
  <si>
    <t>Alias</t>
  </si>
  <si>
    <t>Item Master - ERP</t>
  </si>
  <si>
    <t>PIM/Istructions</t>
  </si>
  <si>
    <t>IBM</t>
  </si>
  <si>
    <t>USH or WAM</t>
  </si>
  <si>
    <t>Item Description</t>
  </si>
  <si>
    <t>Instructions</t>
  </si>
  <si>
    <t>Brand</t>
  </si>
  <si>
    <t>Cat1</t>
  </si>
  <si>
    <t>Cat2</t>
  </si>
  <si>
    <t>EA UPC</t>
  </si>
  <si>
    <t>EA Height</t>
  </si>
  <si>
    <t>EA Lenght</t>
  </si>
  <si>
    <t>EA Depth</t>
  </si>
  <si>
    <t>EA Weight</t>
  </si>
  <si>
    <t>EA Cube</t>
  </si>
  <si>
    <t>Packaging Type</t>
  </si>
  <si>
    <t>Multilingual</t>
  </si>
  <si>
    <t>Private Label</t>
  </si>
  <si>
    <t>Prop 65</t>
  </si>
  <si>
    <t>Prop 65 Chemicals</t>
  </si>
  <si>
    <t>Prop 65 Warning</t>
  </si>
  <si>
    <t>Codes and Compliance</t>
  </si>
  <si>
    <t>Warranty</t>
  </si>
  <si>
    <t>Manufacturer</t>
  </si>
  <si>
    <t>Distributor</t>
  </si>
  <si>
    <t>Long Description</t>
  </si>
  <si>
    <t>Marketing Attribute 1</t>
  </si>
  <si>
    <t>Marketing Attribute 2</t>
  </si>
  <si>
    <t>Marketing Attribute 3</t>
  </si>
  <si>
    <t>Marketing Attribute 4</t>
  </si>
  <si>
    <t>Marketing Attribute 5</t>
  </si>
  <si>
    <t>Marketing Attribute 6</t>
  </si>
  <si>
    <t>Stage Gate</t>
  </si>
  <si>
    <t>New Alias</t>
  </si>
  <si>
    <t>Category PM</t>
  </si>
  <si>
    <t>Responsible for PIM &amp; Instructions</t>
  </si>
  <si>
    <t>PIM/Instructions sent to Creative</t>
  </si>
  <si>
    <t>New IBM</t>
  </si>
  <si>
    <t xml:space="preserve">Existing IBM </t>
  </si>
  <si>
    <t xml:space="preserve">Existing Alias </t>
  </si>
  <si>
    <t>Category 1</t>
  </si>
  <si>
    <t>Category 2</t>
  </si>
  <si>
    <t>Packaging Dimensions Height</t>
  </si>
  <si>
    <t>Packaging Dimensions Length</t>
  </si>
  <si>
    <t>Packaging Dimensions Width</t>
  </si>
  <si>
    <t>Ea Weight Lbs.</t>
  </si>
  <si>
    <t>Packaging Dimensions Linear Ft</t>
  </si>
  <si>
    <t>Country of Origin</t>
  </si>
  <si>
    <t>Annual Volume (Units)</t>
  </si>
  <si>
    <t>Average Sales Price</t>
  </si>
  <si>
    <t>Warehouse Nifo+</t>
  </si>
  <si>
    <t>MOQ</t>
  </si>
  <si>
    <t>Vendor Name</t>
  </si>
  <si>
    <t>GM% on DC Collect</t>
  </si>
  <si>
    <t>Tooling Cost</t>
  </si>
  <si>
    <t>MSRP</t>
  </si>
  <si>
    <t>In Lowes Program?</t>
  </si>
  <si>
    <t>8'POG  
(x=Yes, 0=N)</t>
  </si>
  <si>
    <t>4' RV Only</t>
  </si>
  <si>
    <t>4' Mobile Home Only</t>
  </si>
  <si>
    <t>4' Assortment - Mostly RV (but MH faucets and strainers incl)</t>
  </si>
  <si>
    <t>RVP002</t>
  </si>
  <si>
    <t>Boyd</t>
  </si>
  <si>
    <t>Road &amp; Home</t>
  </si>
  <si>
    <t>D</t>
  </si>
  <si>
    <t>China</t>
  </si>
  <si>
    <t>RVP003</t>
  </si>
  <si>
    <t>Done</t>
  </si>
  <si>
    <t>N/A</t>
  </si>
  <si>
    <t>690556</t>
  </si>
  <si>
    <t>B</t>
  </si>
  <si>
    <t>RVP004</t>
  </si>
  <si>
    <t>301107</t>
  </si>
  <si>
    <t>RVP005</t>
  </si>
  <si>
    <t>Yes</t>
  </si>
  <si>
    <t>RVP008</t>
  </si>
  <si>
    <t>503406</t>
  </si>
  <si>
    <t>YES</t>
  </si>
  <si>
    <t>RVP010</t>
  </si>
  <si>
    <t>690596</t>
  </si>
  <si>
    <t>E</t>
  </si>
  <si>
    <t>RVP011</t>
  </si>
  <si>
    <t>RVP012</t>
  </si>
  <si>
    <t>RVP018</t>
  </si>
  <si>
    <t>Mike</t>
  </si>
  <si>
    <t>Entry Lock Mobile Home 1CY SS</t>
  </si>
  <si>
    <t>RVP024</t>
  </si>
  <si>
    <t>520407</t>
  </si>
  <si>
    <t>White Rosette 6pc w/Screws</t>
  </si>
  <si>
    <t>RVP026</t>
  </si>
  <si>
    <t>Deadbolt Mobile Home 1CY SS</t>
  </si>
  <si>
    <t>RVP028</t>
  </si>
  <si>
    <t>Privacy Lock Mobile Home PB</t>
  </si>
  <si>
    <t>RVP029</t>
  </si>
  <si>
    <t>Passage Lock Mobile Home PB</t>
  </si>
  <si>
    <t>RVP030</t>
  </si>
  <si>
    <t>Garden Tub Faucet Replacement Spout</t>
  </si>
  <si>
    <t>RVP031</t>
  </si>
  <si>
    <t>Tub/Shower Diverter Spout</t>
  </si>
  <si>
    <t>RVP032</t>
  </si>
  <si>
    <t>RVP034</t>
  </si>
  <si>
    <t>RVP035</t>
  </si>
  <si>
    <t>RVP041</t>
  </si>
  <si>
    <t>530412</t>
  </si>
  <si>
    <t>RVP042</t>
  </si>
  <si>
    <t>530413</t>
  </si>
  <si>
    <t>RVP043</t>
  </si>
  <si>
    <t>530414</t>
  </si>
  <si>
    <t>RVP046</t>
  </si>
  <si>
    <t>RVP047</t>
  </si>
  <si>
    <t>RVP048</t>
  </si>
  <si>
    <t>Window Tilt Latch 2 Sets</t>
  </si>
  <si>
    <t>RVP050</t>
  </si>
  <si>
    <t>RVP051</t>
  </si>
  <si>
    <t>Taiwan</t>
  </si>
  <si>
    <t>RVP054</t>
  </si>
  <si>
    <t>RVP057</t>
  </si>
  <si>
    <t>RVP058</t>
  </si>
  <si>
    <t>RVP059</t>
  </si>
  <si>
    <t>RVP061</t>
  </si>
  <si>
    <t>RVP063</t>
  </si>
  <si>
    <t>RVP064</t>
  </si>
  <si>
    <t>RVP065</t>
  </si>
  <si>
    <t>RVP066</t>
  </si>
  <si>
    <t>RVP067</t>
  </si>
  <si>
    <t>RVP068</t>
  </si>
  <si>
    <t>RVP069</t>
  </si>
  <si>
    <t>RVP070</t>
  </si>
  <si>
    <t>RVP072</t>
  </si>
  <si>
    <t>RVP073</t>
  </si>
  <si>
    <t>RVP074</t>
  </si>
  <si>
    <t>RVP075</t>
  </si>
  <si>
    <t>RVP077</t>
  </si>
  <si>
    <t>RVP078</t>
  </si>
  <si>
    <t>RVP079</t>
  </si>
  <si>
    <t>RVP080</t>
  </si>
  <si>
    <t>RVP081</t>
  </si>
  <si>
    <t>RVP083</t>
  </si>
  <si>
    <t>RVP084</t>
  </si>
  <si>
    <t>RVP085</t>
  </si>
  <si>
    <t>RVP086</t>
  </si>
  <si>
    <t>RVP087</t>
  </si>
  <si>
    <t>RVP093</t>
  </si>
  <si>
    <t>RVP094</t>
  </si>
  <si>
    <t>RVP095</t>
  </si>
  <si>
    <t>RVP096</t>
  </si>
  <si>
    <t>RVP097</t>
  </si>
  <si>
    <t>RVP098</t>
  </si>
  <si>
    <t>RVP099</t>
  </si>
  <si>
    <t>RVP100</t>
  </si>
  <si>
    <t>RVP101</t>
  </si>
  <si>
    <t>RVP102</t>
  </si>
  <si>
    <t>RVP103</t>
  </si>
  <si>
    <t>RVP104</t>
  </si>
  <si>
    <t>RVP113</t>
  </si>
  <si>
    <t>RVP114</t>
  </si>
  <si>
    <t>RVP115</t>
  </si>
  <si>
    <t>RVP121</t>
  </si>
  <si>
    <t>RVP127</t>
  </si>
  <si>
    <t>RVP128</t>
  </si>
  <si>
    <t>RVP129</t>
  </si>
  <si>
    <t>RVP130</t>
  </si>
  <si>
    <t>RVP141</t>
  </si>
  <si>
    <t>RVP142</t>
  </si>
  <si>
    <t>RVP143</t>
  </si>
  <si>
    <t>RVP144</t>
  </si>
  <si>
    <t>RVP145</t>
  </si>
  <si>
    <t>RVP148</t>
  </si>
  <si>
    <t>RVP149</t>
  </si>
  <si>
    <t>RVP150</t>
  </si>
  <si>
    <t>RVP151</t>
  </si>
  <si>
    <t>RVP152</t>
  </si>
  <si>
    <t>RVP153</t>
  </si>
  <si>
    <t>RVP154</t>
  </si>
  <si>
    <t>RVP155</t>
  </si>
  <si>
    <t>RVP156</t>
  </si>
  <si>
    <t>RVP157</t>
  </si>
  <si>
    <t>RVP158</t>
  </si>
  <si>
    <t>RVP159</t>
  </si>
  <si>
    <t>333195</t>
  </si>
  <si>
    <t>RVP160</t>
  </si>
  <si>
    <t>?</t>
  </si>
  <si>
    <t>RVP162</t>
  </si>
  <si>
    <t>None</t>
  </si>
  <si>
    <t>RVP165</t>
  </si>
  <si>
    <t>RVP166</t>
  </si>
  <si>
    <t>650070</t>
  </si>
  <si>
    <t>RVP167</t>
  </si>
  <si>
    <t>RVP169</t>
  </si>
  <si>
    <t>104855</t>
  </si>
  <si>
    <t>RVP170</t>
  </si>
  <si>
    <t>Cabinet Catch Magnetic</t>
  </si>
  <si>
    <t>RVP181</t>
  </si>
  <si>
    <t>Clear Rosette 6pc w/Screws</t>
  </si>
  <si>
    <t>Description</t>
  </si>
  <si>
    <t>Category</t>
  </si>
  <si>
    <t>Plumbing</t>
  </si>
  <si>
    <t>568</t>
  </si>
  <si>
    <t>Metal Hose "Y" With Shutoffs</t>
  </si>
  <si>
    <t>P-1358C</t>
  </si>
  <si>
    <t>Push/Pull Drain Assembly, White</t>
  </si>
  <si>
    <t>2284W</t>
  </si>
  <si>
    <t>Push/Pull Drain Stopper, White</t>
  </si>
  <si>
    <t>A</t>
  </si>
  <si>
    <t>C1740CH</t>
  </si>
  <si>
    <t>3S-8HC Stem For Delta/Delex With Seat and Spring</t>
  </si>
  <si>
    <t>G</t>
  </si>
  <si>
    <t>RV-307C</t>
  </si>
  <si>
    <t>30 Amp Plug Adapter</t>
  </si>
  <si>
    <t>Electrical</t>
  </si>
  <si>
    <t>P-081C</t>
  </si>
  <si>
    <t>ABS Trap Adapter, 1-1/2" Sp x FPT Swivel</t>
  </si>
  <si>
    <t>RV-488C</t>
  </si>
  <si>
    <t>7-Way Trailer-End Electrical Connector</t>
  </si>
  <si>
    <t>H</t>
  </si>
  <si>
    <t>RV-490B</t>
  </si>
  <si>
    <t>7-Way Car-End Electrical Connector</t>
  </si>
  <si>
    <t>RV-1216B</t>
  </si>
  <si>
    <t>RVP013</t>
  </si>
  <si>
    <t>Light Bulb Frosted 12Volt/75 Watt</t>
  </si>
  <si>
    <t>RV-1217B</t>
  </si>
  <si>
    <t>RVP014</t>
  </si>
  <si>
    <t>Light Bulb Frosted 12Vlt/100 Watt</t>
  </si>
  <si>
    <t>RV-372B</t>
  </si>
  <si>
    <t>RVP016</t>
  </si>
  <si>
    <t>Light Bulb Frosted 12Volt/25 Watt</t>
  </si>
  <si>
    <t>RV-373B</t>
  </si>
  <si>
    <t>RVP017</t>
  </si>
  <si>
    <t>Light Bulb Frosted 12Volt/50 Watt</t>
  </si>
  <si>
    <t>D-090B</t>
  </si>
  <si>
    <t>Mobile Home Entry Lock SS</t>
  </si>
  <si>
    <t>U</t>
  </si>
  <si>
    <t>Locksets</t>
  </si>
  <si>
    <t>D-099B</t>
  </si>
  <si>
    <t>RVP019</t>
  </si>
  <si>
    <t>Mobile Home Entry Lock Brass</t>
  </si>
  <si>
    <t>D-138B</t>
  </si>
  <si>
    <t>RVP022</t>
  </si>
  <si>
    <t>White Rosette 24/Bag W/Screws</t>
  </si>
  <si>
    <t>SH</t>
  </si>
  <si>
    <t>Hardware</t>
  </si>
  <si>
    <t>D-140B</t>
  </si>
  <si>
    <t>RVP023</t>
  </si>
  <si>
    <t>Clear Rosette 24/Bag W/Screws</t>
  </si>
  <si>
    <t>D-138C</t>
  </si>
  <si>
    <t>White Rosette 6/Card W/Screws</t>
  </si>
  <si>
    <t>Clear Rosette, 6/card W/Screws</t>
  </si>
  <si>
    <t>D-113B</t>
  </si>
  <si>
    <t>Single Cylinder Deadbolt Mobile Home, SS</t>
  </si>
  <si>
    <t>U1</t>
  </si>
  <si>
    <t>D-083B</t>
  </si>
  <si>
    <t>RVP027</t>
  </si>
  <si>
    <t>Single Cylinder Deadbolt Mobile Home, PB</t>
  </si>
  <si>
    <t>D-600B</t>
  </si>
  <si>
    <t>Mobile Home Privacy Lockset PB</t>
  </si>
  <si>
    <t>D-601B</t>
  </si>
  <si>
    <t>Mobile Home Passage Lockset PB</t>
  </si>
  <si>
    <t>RVP30</t>
  </si>
  <si>
    <t>Spout For Garden Tub Faucet</t>
  </si>
  <si>
    <t>D+</t>
  </si>
  <si>
    <t>RVP31</t>
  </si>
  <si>
    <t>Diverter Spout For Tub/Shower RV Faucet</t>
  </si>
  <si>
    <t>RVP32</t>
  </si>
  <si>
    <t>Plastic Roof Vent Cap</t>
  </si>
  <si>
    <t>LH</t>
  </si>
  <si>
    <t>RVP33</t>
  </si>
  <si>
    <t>RVP033</t>
  </si>
  <si>
    <t>Galvanized Roof Vent Cap</t>
  </si>
  <si>
    <t>WP-9708C</t>
  </si>
  <si>
    <t>Cam Style Lock, 5/8" For Baggage Door</t>
  </si>
  <si>
    <t>D-628C</t>
  </si>
  <si>
    <t>WP-8831C</t>
  </si>
  <si>
    <t>RVP037</t>
  </si>
  <si>
    <t>Screen Storm Clips With Screws, Brown, 8/Pack</t>
  </si>
  <si>
    <t>WP-9877C</t>
  </si>
  <si>
    <t>RVP039</t>
  </si>
  <si>
    <t>Screen Storm Clips With Screws, White, 8/Pack</t>
  </si>
  <si>
    <t>RV-523C</t>
  </si>
  <si>
    <t>5/8" Standard Hitch Pin</t>
  </si>
  <si>
    <t>RV-867C</t>
  </si>
  <si>
    <t>Coupler Lock Pin 5/16" Diameter</t>
  </si>
  <si>
    <t>RV-525C</t>
  </si>
  <si>
    <t>Coupler Lock Pin 1/4" Diameter</t>
  </si>
  <si>
    <t>RV-482B</t>
  </si>
  <si>
    <t>RVP044</t>
  </si>
  <si>
    <t>12 Volt 10' Extension Cord W/Battery Clip</t>
  </si>
  <si>
    <t>MH</t>
  </si>
  <si>
    <t>RV-483B</t>
  </si>
  <si>
    <t>RVP045</t>
  </si>
  <si>
    <t>Adapter Plug With 25" Cord</t>
  </si>
  <si>
    <t>RV-200C</t>
  </si>
  <si>
    <t>Blow Out Plug</t>
  </si>
  <si>
    <t>RV-358C</t>
  </si>
  <si>
    <t xml:space="preserve">Flat 4 Way Connector With 12" Wires </t>
  </si>
  <si>
    <t>41971</t>
  </si>
  <si>
    <t>Window Tilt Latch Assy 2RH + 2LH</t>
  </si>
  <si>
    <t>C1831</t>
  </si>
  <si>
    <t>CP Bath Drain, Touch-Toe</t>
  </si>
  <si>
    <t>C1830</t>
  </si>
  <si>
    <t>CP Bath Drain, Grid Strainer Style</t>
  </si>
  <si>
    <t>RVP052</t>
  </si>
  <si>
    <t>S.S. Kitchen Sink Strainer Assembly, Complete</t>
  </si>
  <si>
    <t>CLAM</t>
  </si>
  <si>
    <t>2100P</t>
  </si>
  <si>
    <t>RVP053</t>
  </si>
  <si>
    <t>Plastic Kitchen Sink Strainer Assembly, S.S. Exposed Parts</t>
  </si>
  <si>
    <t>4-1/2"" Flat Sink/Shower Strainer</t>
  </si>
  <si>
    <t>C5677</t>
  </si>
  <si>
    <t>RVP055</t>
  </si>
  <si>
    <t>Integral Fill Valve Toilet Repair Kit With Flapper</t>
  </si>
  <si>
    <t>P-332C</t>
  </si>
  <si>
    <t>RVP056</t>
  </si>
  <si>
    <t>J</t>
  </si>
  <si>
    <t>P-139C</t>
  </si>
  <si>
    <t>Pop-Up With Linkage, Less Overflow</t>
  </si>
  <si>
    <t>RV-013B</t>
  </si>
  <si>
    <t>Concealed Shower Valve</t>
  </si>
  <si>
    <t>RV-012B</t>
  </si>
  <si>
    <t>4" Shower Valve</t>
  </si>
  <si>
    <t>TBD</t>
  </si>
  <si>
    <t>RV-035B</t>
  </si>
  <si>
    <t>RVP060</t>
  </si>
  <si>
    <t>P-008PN</t>
  </si>
  <si>
    <t>8" Exposed Faucet With Shower Arm, Flange &amp; Head</t>
  </si>
  <si>
    <t>P-526C</t>
  </si>
  <si>
    <t>RVP062</t>
  </si>
  <si>
    <t>CP Plastic Spout</t>
  </si>
  <si>
    <t>x</t>
  </si>
  <si>
    <t>P-005PB</t>
  </si>
  <si>
    <t>8" Two-Valve Tub Shower Faucet Straight Shanks</t>
  </si>
  <si>
    <t>P-675C</t>
  </si>
  <si>
    <t>Brass Stem - C1727H</t>
  </si>
  <si>
    <t>P-1550</t>
  </si>
  <si>
    <t>Diverter Parts For Tub Spouts</t>
  </si>
  <si>
    <t>P-050B</t>
  </si>
  <si>
    <t>8" Two-Valve Tub Shower Faucet Offset Shanks</t>
  </si>
  <si>
    <t>P-045C</t>
  </si>
  <si>
    <t>Acrylic Faucet Handles, Clear</t>
  </si>
  <si>
    <t>P-673C</t>
  </si>
  <si>
    <t>Brass Stem - Assume 2J-2H Amer. Brass</t>
  </si>
  <si>
    <t>P-672C</t>
  </si>
  <si>
    <t>Brass Stem - Assume 2J-3H Streamway</t>
  </si>
  <si>
    <t>P-674C</t>
  </si>
  <si>
    <t>Brass Stem - Assume 2J-8H/C (1798CH)</t>
  </si>
  <si>
    <t>P-045SC</t>
  </si>
  <si>
    <t>RVP071</t>
  </si>
  <si>
    <t>P-402C</t>
  </si>
  <si>
    <t>Acrylic Faucet Handles, Utopia Style, Clear</t>
  </si>
  <si>
    <t>P-034C</t>
  </si>
  <si>
    <t>CP Spout for Kitchen Faucet</t>
  </si>
  <si>
    <t>K</t>
  </si>
  <si>
    <t>P-102C</t>
  </si>
  <si>
    <t>Push/Pull Drain Assembly, CP</t>
  </si>
  <si>
    <t>P-040C</t>
  </si>
  <si>
    <t>Shower Arm With Escutcheon</t>
  </si>
  <si>
    <t>L</t>
  </si>
  <si>
    <t>V-001B</t>
  </si>
  <si>
    <t>RVP076</t>
  </si>
  <si>
    <t>Exhaust Fan Motor</t>
  </si>
  <si>
    <t>HVAC</t>
  </si>
  <si>
    <t>RV-508B</t>
  </si>
  <si>
    <t>Black RV Waste Cap</t>
  </si>
  <si>
    <t>P-597C</t>
  </si>
  <si>
    <t>Plastic Shower Valve Flange</t>
  </si>
  <si>
    <t>P-608C</t>
  </si>
  <si>
    <t>Kitchen Basket Strainer Insert</t>
  </si>
  <si>
    <t>P-097C</t>
  </si>
  <si>
    <t>1-1/2" ABS Sink Trap</t>
  </si>
  <si>
    <t>C</t>
  </si>
  <si>
    <t>P-098C</t>
  </si>
  <si>
    <t>1-1/2" ABS Bath Trap</t>
  </si>
  <si>
    <t>P-118C</t>
  </si>
  <si>
    <t>RVP082</t>
  </si>
  <si>
    <t>1-1/2" ABS Bath Trap With Drain And Adapter</t>
  </si>
  <si>
    <t>P-105C</t>
  </si>
  <si>
    <t>Bathtub Pop-Stop Drain, CP</t>
  </si>
  <si>
    <t>P-1357C</t>
  </si>
  <si>
    <t>Bathtub Pop-Stop Drain, White</t>
  </si>
  <si>
    <t>P-030N</t>
  </si>
  <si>
    <t>Brass Garden Tub Faucet</t>
  </si>
  <si>
    <t>BOX</t>
  </si>
  <si>
    <t>P-001N</t>
  </si>
  <si>
    <t>3-Handle Tub/Shower Faucet Complete</t>
  </si>
  <si>
    <t>P-004N</t>
  </si>
  <si>
    <t>2-Handle Tub/Shower Faucet Complete</t>
  </si>
  <si>
    <t>RV-321C</t>
  </si>
  <si>
    <t>40-50# Pressure Input Regulator</t>
  </si>
  <si>
    <t>RV-346B</t>
  </si>
  <si>
    <t>18" Male RV Electrical Hook-Up Cord</t>
  </si>
  <si>
    <t>RV-347B</t>
  </si>
  <si>
    <t>18" Female RV Electrical Hook-Up Cord</t>
  </si>
  <si>
    <t>RV-687</t>
  </si>
  <si>
    <t>25' RV Cord Hook-Up Cord</t>
  </si>
  <si>
    <t>BOTTOM</t>
  </si>
  <si>
    <t>RV-801B</t>
  </si>
  <si>
    <t>12" Male RV Electrical Hook-Up Cord</t>
  </si>
  <si>
    <t>RV-802B</t>
  </si>
  <si>
    <t>12" Female RV Electrical Hook-Up Cord</t>
  </si>
  <si>
    <t>C1795CH</t>
  </si>
  <si>
    <t>3J-1HC Plastic/Brass Streamway Stem, Hot/Cold</t>
  </si>
  <si>
    <t>C1066HC</t>
  </si>
  <si>
    <t>3J-3HC Plastic BPC/Bristol Stem, Hot/Cold</t>
  </si>
  <si>
    <t>C1791H</t>
  </si>
  <si>
    <t>2J-6H Brass Streamway Stem, Hot</t>
  </si>
  <si>
    <t>C1791C</t>
  </si>
  <si>
    <t>2J-6C Brass Streamway Stem, Cold</t>
  </si>
  <si>
    <t>C426</t>
  </si>
  <si>
    <t>CP Handles For Streamway</t>
  </si>
  <si>
    <t>0260</t>
  </si>
  <si>
    <t>White Plastic Shower Head</t>
  </si>
  <si>
    <t>V-056IB</t>
  </si>
  <si>
    <t>RVP105</t>
  </si>
  <si>
    <t>Register 4X8, Brown Deep</t>
  </si>
  <si>
    <t>V-056IWB</t>
  </si>
  <si>
    <t>RVP106</t>
  </si>
  <si>
    <t>Register 4X8, White Deep</t>
  </si>
  <si>
    <t>V-057IB</t>
  </si>
  <si>
    <t>RVP107</t>
  </si>
  <si>
    <t>Register 4X10, Brown Deep</t>
  </si>
  <si>
    <t>V-102B</t>
  </si>
  <si>
    <t>RVP109</t>
  </si>
  <si>
    <t>Register 4X8, Brown Shallow</t>
  </si>
  <si>
    <t>V-103B</t>
  </si>
  <si>
    <t>RVP111</t>
  </si>
  <si>
    <t>V-103WB</t>
  </si>
  <si>
    <t>RVP112</t>
  </si>
  <si>
    <t>Register 4X10, White Shallow</t>
  </si>
  <si>
    <t>C1852</t>
  </si>
  <si>
    <t xml:space="preserve">CP Tub Spout </t>
  </si>
  <si>
    <t>C1853</t>
  </si>
  <si>
    <t>CP Diverter Tub Spout - Front Diverter</t>
  </si>
  <si>
    <t>C0265</t>
  </si>
  <si>
    <t>CP Plastic Shower Head</t>
  </si>
  <si>
    <t>CP Non-Metallic Kitchen Faucet Two-Handle With Spray</t>
  </si>
  <si>
    <t>CP Non-Metallic Kitchen Faucet Two-Handle Less Spray</t>
  </si>
  <si>
    <t>RVP120</t>
  </si>
  <si>
    <t>CP Non-Metallic Bathroom Faucet Two-Handle Less Pop-Up</t>
  </si>
  <si>
    <t>Push/Pull Drain Stopper, CP</t>
  </si>
  <si>
    <t>2283B</t>
  </si>
  <si>
    <t>Push/Pull Drain, Bone</t>
  </si>
  <si>
    <t>2284B</t>
  </si>
  <si>
    <t>Push/Pull Drain Stopper, Bone</t>
  </si>
  <si>
    <t>E-162C</t>
  </si>
  <si>
    <t>RVP131</t>
  </si>
  <si>
    <t>Duplex Receptical, White</t>
  </si>
  <si>
    <t>E-120C</t>
  </si>
  <si>
    <t>RVP132</t>
  </si>
  <si>
    <t>Duplex Receptical White, Decorator</t>
  </si>
  <si>
    <t>E-119C</t>
  </si>
  <si>
    <t>RVP133</t>
  </si>
  <si>
    <t>E-100C</t>
  </si>
  <si>
    <t>RVP134</t>
  </si>
  <si>
    <t>Décor Switch, Ivory</t>
  </si>
  <si>
    <t>E-160C</t>
  </si>
  <si>
    <t>RVP135</t>
  </si>
  <si>
    <t>Standard Switch, White</t>
  </si>
  <si>
    <t>E-163C</t>
  </si>
  <si>
    <t>RVP136</t>
  </si>
  <si>
    <t>1 Gang Face Plate, White</t>
  </si>
  <si>
    <t>E-122C</t>
  </si>
  <si>
    <t>RVP137</t>
  </si>
  <si>
    <t>Décor Face Plate, White</t>
  </si>
  <si>
    <t>E-104C</t>
  </si>
  <si>
    <t>RVP138</t>
  </si>
  <si>
    <t>Décor Face Plate, Ivory</t>
  </si>
  <si>
    <t>E-161C</t>
  </si>
  <si>
    <t>RVP139</t>
  </si>
  <si>
    <t>Standard Switch Plate, White</t>
  </si>
  <si>
    <t>RV-509B</t>
  </si>
  <si>
    <t>Black RV Sewer Cap, 3"</t>
  </si>
  <si>
    <t>RV-309B</t>
  </si>
  <si>
    <t>RV Straight Hose Adapter 3"</t>
  </si>
  <si>
    <t>RV-331B</t>
  </si>
  <si>
    <t>RV Hose Male Adapter, 3"</t>
  </si>
  <si>
    <t>RV-379B</t>
  </si>
  <si>
    <t>RV Coupling, 3"</t>
  </si>
  <si>
    <t>RV-308B</t>
  </si>
  <si>
    <t>RV Black 45^ Hose Adapter, 3"</t>
  </si>
  <si>
    <t>RV-300B</t>
  </si>
  <si>
    <t>RVP147</t>
  </si>
  <si>
    <t>RV Waste Hose, 3" x 10'</t>
  </si>
  <si>
    <t>RV-301B</t>
  </si>
  <si>
    <t>RV Waste Hose, 3" x 20'</t>
  </si>
  <si>
    <t>C2108</t>
  </si>
  <si>
    <t>Plastic 2-1/2" Sink Strainer Assembly</t>
  </si>
  <si>
    <t>RV-320C</t>
  </si>
  <si>
    <t>15 Amp Plug Adapter</t>
  </si>
  <si>
    <t>P-138C</t>
  </si>
  <si>
    <t>3J-9HC Plastic Phoenix Stem, Hot/Cold</t>
  </si>
  <si>
    <t>C2012</t>
  </si>
  <si>
    <t>Small Sink Strainer Basket</t>
  </si>
  <si>
    <t>F</t>
  </si>
  <si>
    <t>Male Threaded Plastic Toilet Floor Flange</t>
  </si>
  <si>
    <t>Female Threaded Plastic Toilet Floor Flange</t>
  </si>
  <si>
    <t>C1727C</t>
  </si>
  <si>
    <t>2J-3C Brass Streamway Stem, Cold</t>
  </si>
  <si>
    <t>C1727H</t>
  </si>
  <si>
    <t>2J-3C Brass Streamway Stem, Hot</t>
  </si>
  <si>
    <t>Plastic Hose Shut Off</t>
  </si>
  <si>
    <t>24-2070</t>
  </si>
  <si>
    <t>Plastic Garden Tub Faucet</t>
  </si>
  <si>
    <t>DVC-M</t>
  </si>
  <si>
    <t>Vent/Waste Hose Clamps With Wing Nuts, 2/Card</t>
  </si>
  <si>
    <t>EX</t>
  </si>
  <si>
    <t>7J-9D Plastic Phoenix Diverter Stem</t>
  </si>
  <si>
    <t>RVP161</t>
  </si>
  <si>
    <t>Water Filter, FGHT x FGHT with Hose Pigtail</t>
  </si>
  <si>
    <t>Drinking Water Garden Hose - 50'</t>
  </si>
  <si>
    <t>RVP163</t>
  </si>
  <si>
    <t>New Style Entry Lockset / Deadbolt for RV - Black</t>
  </si>
  <si>
    <t>RVP164</t>
  </si>
  <si>
    <t>New Style Entry Lockset / Deadbolt for RV - White</t>
  </si>
  <si>
    <t>New Style Entry Lockset / Deadbolt for RV - Stainless Steel</t>
  </si>
  <si>
    <t>C0494</t>
  </si>
  <si>
    <t>3-Pack Filter Hose Washers</t>
  </si>
  <si>
    <t>MGHT x FGHT x 90^ Adapter, Brass</t>
  </si>
  <si>
    <t>569</t>
  </si>
  <si>
    <t>Plastic Hose "Y" Connector With Shut-Offs</t>
  </si>
  <si>
    <t>13500</t>
  </si>
  <si>
    <t>Magnetic Cabinet Catch</t>
  </si>
  <si>
    <t>SUVHD</t>
  </si>
  <si>
    <t>Heavy Duty Telescopic SUV and Camper Brush &amp; Squeegee</t>
  </si>
  <si>
    <t>SUVSB</t>
  </si>
  <si>
    <t>SUBSB</t>
  </si>
  <si>
    <t>Telescopic SUV and Camper Brush &amp; Squeegee</t>
  </si>
  <si>
    <t>CZPP21</t>
  </si>
  <si>
    <t>Propane Camping Stove / Heater</t>
  </si>
  <si>
    <t>RVP173</t>
  </si>
  <si>
    <t>12" Orange Cone (no reflective tape)</t>
  </si>
  <si>
    <t>RVP174</t>
  </si>
  <si>
    <t>18" Orange Cone (no reflective tape)</t>
  </si>
  <si>
    <t>RVP175</t>
  </si>
  <si>
    <t>28" Orange Cone (no reflective tape)</t>
  </si>
  <si>
    <t>RVP176</t>
  </si>
  <si>
    <t>18" Orange Cone (with reflective tape)</t>
  </si>
  <si>
    <t>RVP177</t>
  </si>
  <si>
    <t>28" Orange Cone (with reflective tape)</t>
  </si>
  <si>
    <t>RVP184</t>
  </si>
  <si>
    <t>15# Gas Test Guage</t>
  </si>
  <si>
    <t>PCPT per store*storecount*52</t>
  </si>
  <si>
    <t>Vendor</t>
  </si>
  <si>
    <t>Item #</t>
  </si>
  <si>
    <t>WAM #</t>
  </si>
  <si>
    <t>Item Desc</t>
  </si>
  <si>
    <t>Item Height (in)</t>
  </si>
  <si>
    <t>Item Width (in)</t>
  </si>
  <si>
    <t>Item Depth (in)</t>
  </si>
  <si>
    <t>Item Weight (lbs)</t>
  </si>
  <si>
    <t>Item Cube (linear ft.)</t>
  </si>
  <si>
    <t>Package Type</t>
  </si>
  <si>
    <t>Stocked Stores</t>
  </si>
  <si>
    <t>Annual Sales Units</t>
  </si>
  <si>
    <t>Weekly sales</t>
  </si>
  <si>
    <t>Sales/Store/week</t>
  </si>
  <si>
    <t>8' Assortment</t>
  </si>
  <si>
    <t>Existing Alias</t>
  </si>
  <si>
    <t>Jones Stephens</t>
  </si>
  <si>
    <t>Heat Formed Plastic</t>
  </si>
  <si>
    <t>Modify USH instructions</t>
  </si>
  <si>
    <t>postponed until phase 2</t>
  </si>
  <si>
    <t>Banded</t>
  </si>
  <si>
    <t>already active item</t>
  </si>
  <si>
    <t>Modify Camco Hose card</t>
  </si>
  <si>
    <t>RV Waste Hose 3" x 20'</t>
  </si>
  <si>
    <t>Bagged</t>
  </si>
  <si>
    <t>Write from scratch</t>
  </si>
  <si>
    <t>See box on Andrew's desk</t>
  </si>
  <si>
    <t>Use back of World and Main card</t>
  </si>
  <si>
    <t>Register 4X10 Brown Deep</t>
  </si>
  <si>
    <t>Shrink Wrap</t>
  </si>
  <si>
    <t>Register 4X8 Brown Deep</t>
  </si>
  <si>
    <t>Done.  Item is in Menards.</t>
  </si>
  <si>
    <t>Pop-Up With Linkage Less Overflow</t>
  </si>
  <si>
    <t>S.S. Kitchen Sink Strainer Assembly Complete</t>
  </si>
  <si>
    <t>Register 4X10 White Shallow</t>
  </si>
  <si>
    <t>Vent/Waste Hose Clamps With Wing Nuts 2/Card</t>
  </si>
  <si>
    <t>Cardboard Box</t>
  </si>
  <si>
    <t>Push/Pull Drain Assembly CP</t>
  </si>
  <si>
    <t>Bathtub Pop-Stop Drain CP</t>
  </si>
  <si>
    <t>Black RV Sewer Cap 3"</t>
  </si>
  <si>
    <t>Cam Style Lock 5/8" For Baggage Door</t>
  </si>
  <si>
    <t>RV Black 45^ Hose Adapter 3"</t>
  </si>
  <si>
    <t>P-111C</t>
  </si>
  <si>
    <t>8" Exposed Faucet With Shower Arm Flange &amp; Head</t>
  </si>
  <si>
    <t>RV Hose Male Adapter 3"</t>
  </si>
  <si>
    <t>Acrylic Faucet Handles Clear</t>
  </si>
  <si>
    <t>3J-3HC Plastic BPC/Bristol Stem Hot/Cold</t>
  </si>
  <si>
    <t>See RVP099.</t>
  </si>
  <si>
    <t>RV Coupling 3"</t>
  </si>
  <si>
    <t>Push/Pull Drain Assembly White</t>
  </si>
  <si>
    <t>Push/Pull Drain Bone</t>
  </si>
  <si>
    <t>Copy RVP074</t>
  </si>
  <si>
    <t>Use back of World and Main card #1990ML</t>
  </si>
  <si>
    <t>Single Cylinder Deadbolt Mobile Home SS</t>
  </si>
  <si>
    <t>Use back of World and Main card #281ML</t>
  </si>
  <si>
    <t>Use back of World and Main card #3007ML</t>
  </si>
  <si>
    <t>Use back of World and Main card #2004ML</t>
  </si>
  <si>
    <t>Push/Pull Drain Stopper CP</t>
  </si>
  <si>
    <t>Push/Pull Drain Stopper White</t>
  </si>
  <si>
    <t>Push/Pull Drain Stopper Bone</t>
  </si>
  <si>
    <t>Copy RVP128</t>
  </si>
  <si>
    <t>4" Deck Faucet Swivel Spout</t>
  </si>
  <si>
    <t>Toilet Trip Lever Plastic CP</t>
  </si>
  <si>
    <t>ABS Trap Adapter 1-1/2" Sp x FPT Swivel</t>
  </si>
  <si>
    <t>if space</t>
  </si>
  <si>
    <t>Drive In Latch Plastic</t>
  </si>
  <si>
    <t>3J-9HC Plastic Phoenix Stem Hot/Cold</t>
  </si>
  <si>
    <t>See RVP100</t>
  </si>
  <si>
    <t>Clear Rosette 6/card W/Screws</t>
  </si>
  <si>
    <t>Use the same as RVP024</t>
  </si>
  <si>
    <t>P-110C</t>
  </si>
  <si>
    <t>2J-6H Brass Streamway Stem Hot</t>
  </si>
  <si>
    <t>2J-6C Brass Streamway Stem Cold</t>
  </si>
  <si>
    <t>CP Bath Drain Touch-Toe</t>
  </si>
  <si>
    <t>2J-3C Brass Streamway Stem Cold</t>
  </si>
  <si>
    <t>2J-3H Brass Streamway Stem Hot</t>
  </si>
  <si>
    <t>Décor Switch White</t>
  </si>
  <si>
    <t>CP Bath Drain Grid Strainer Style</t>
  </si>
  <si>
    <t>Décor Switch Ivory</t>
  </si>
  <si>
    <t>3J-1HC Plastic/Brass Streamway Stem Hot/Cold</t>
  </si>
  <si>
    <t>Standard Switch White</t>
  </si>
  <si>
    <t>Duplex Receptical White Decorator</t>
  </si>
  <si>
    <t>Duplex Receptical White</t>
  </si>
  <si>
    <t>Bathtub Pop-Stop Drain White</t>
  </si>
  <si>
    <t>See RVP083.</t>
  </si>
  <si>
    <t>Décor Face Plate White</t>
  </si>
  <si>
    <t>Décor Face Plate Ivory</t>
  </si>
  <si>
    <t>1 Gang Face Plate White</t>
  </si>
  <si>
    <t>Standard Switch Plate White</t>
  </si>
  <si>
    <t>Other</t>
  </si>
  <si>
    <t>Screen Storm Clips With Screws White 8/Pack</t>
  </si>
  <si>
    <t>Screen Storm Clips With Screws Brown 8/Pack</t>
  </si>
  <si>
    <t>RV Waste Hose 3" x 10'</t>
  </si>
  <si>
    <t>Plastic Kitchen Sink Strainer Assembly S.S. Exposed Parts</t>
  </si>
  <si>
    <t>Register 4X10 Brown Shallow</t>
  </si>
  <si>
    <t>Register 4X8 Brown Shallow</t>
  </si>
  <si>
    <t>Register 4X8 White Deep</t>
  </si>
  <si>
    <t>MGHT x FGHT x 90^ Adapter Brass</t>
  </si>
  <si>
    <t>Single Cylinder Deadbolt Mobile Home PB</t>
  </si>
  <si>
    <t>Acrylic Faucet Handles Smoke</t>
  </si>
  <si>
    <t>Use back of World and Main card #C424</t>
  </si>
  <si>
    <t>Acrylic Faucet Handles Utopia Style Clear</t>
  </si>
  <si>
    <t>See RVP115.</t>
  </si>
  <si>
    <t>See RVP081.</t>
  </si>
  <si>
    <t>"</t>
  </si>
  <si>
    <t xml:space="preserve">78" from the bottom </t>
  </si>
  <si>
    <t>HxW</t>
  </si>
  <si>
    <t>1st beam is 3" above concrete and is 2" in height</t>
  </si>
  <si>
    <t>75" from shelf to bottom of product</t>
  </si>
  <si>
    <t>page 10</t>
  </si>
  <si>
    <t>Bottom of the product is here!</t>
  </si>
  <si>
    <t>Total Item Inches</t>
  </si>
  <si>
    <t>Total POG Inches Using 75" as the Stopping Point</t>
  </si>
  <si>
    <t>Total POG Inches Minus 10% for Product Spacing</t>
  </si>
  <si>
    <t>1,435 Stores</t>
  </si>
  <si>
    <t>62 SKU's</t>
  </si>
  <si>
    <t>First beam</t>
  </si>
  <si>
    <t>concrete floor</t>
  </si>
  <si>
    <t>116 Stores</t>
  </si>
  <si>
    <t>39 SKU's</t>
  </si>
  <si>
    <t>96 Stores</t>
  </si>
  <si>
    <t>61 SKU's</t>
  </si>
  <si>
    <t>68 Stores</t>
  </si>
  <si>
    <t>126 SKU's</t>
  </si>
  <si>
    <t>Estimates Assumed through Lowe's current sales, and coupled with World and Main.</t>
  </si>
  <si>
    <t>Count:</t>
  </si>
  <si>
    <t>Model Number</t>
  </si>
  <si>
    <t>Lowes Part #</t>
  </si>
  <si>
    <t>Lowes Usage</t>
  </si>
  <si>
    <t>Lowes Store Count</t>
  </si>
  <si>
    <t>Future Stock Count</t>
  </si>
  <si>
    <t>Lowe's Current Sales/Store</t>
  </si>
  <si>
    <t>WaM Annual Usage Per Store</t>
  </si>
  <si>
    <t>LOW Annual Usage Per Store</t>
  </si>
  <si>
    <t>Image</t>
  </si>
  <si>
    <t>4' MH Only</t>
  </si>
  <si>
    <t>R/V</t>
  </si>
  <si>
    <t>Mobile Home</t>
  </si>
  <si>
    <t>Stock Count</t>
  </si>
  <si>
    <t>WAM Annual Forecast</t>
  </si>
  <si>
    <t>Safety</t>
  </si>
  <si>
    <t>X</t>
  </si>
  <si>
    <t>Register 4X10, Brown Shallow(better to have if only one but deep is better seller - US Hardware buys by container)</t>
  </si>
  <si>
    <t>8" Two-Valve Tub Shower Faucet Offset Shanks - RV Related only that we carry today</t>
  </si>
  <si>
    <t>15# Gas Test Gauge</t>
  </si>
  <si>
    <t>Andrew do we really need this?</t>
  </si>
  <si>
    <t>Kitchen Basket Strainer Insert (diff shape than one we have in-store today…more shallow)</t>
  </si>
  <si>
    <t>Drinking Water Garden Hose - 50' (white with clear FDA approved material)</t>
  </si>
  <si>
    <t>3-Pack Filter Hose Washers (RVs hook up to public water system and will help filter)</t>
  </si>
  <si>
    <t>Décor Switch, White (real specific)</t>
  </si>
  <si>
    <t>Toilet Trip Lever, Plastic, CP (Gravity fed in RV)</t>
  </si>
  <si>
    <t>Pop-Up With Linkage, Less Overflow (more popular in RV)</t>
  </si>
  <si>
    <t>Blow Out (need for RV for sure before leaving park)</t>
  </si>
  <si>
    <t>ABS Trap Adapter, 1-1/2" Sp x FPT Swivel (like 003 in kit)</t>
  </si>
  <si>
    <t>Push/Pull Drain Assembly, White (OEM application) - like 074 and offered in chrome white and bone…all used in RVs</t>
  </si>
  <si>
    <t>Acrylic Faucet Handles, Utopia Style, Clear (less popular in 067)</t>
  </si>
  <si>
    <t>1-1/2" ABS Bath Trap With Drain And Adapter (kit 082)</t>
  </si>
  <si>
    <t>Push/Pull Drain Stopper, CP (put drain in, not stopper)</t>
  </si>
  <si>
    <t>CP Plastic Shower Head (hand showers typically used in mobile homes)</t>
  </si>
  <si>
    <t>Plumbing / HVAC</t>
  </si>
  <si>
    <t>Small Sink Strainer Basket (menards in RV)</t>
  </si>
  <si>
    <t>Push/Pull Drain Stopper, White --if you have drain</t>
  </si>
  <si>
    <t>Push/Pull Drain Stopper, Bone---if you have drain</t>
  </si>
  <si>
    <t>4" Deck Faucet, Swivel Spout (kill and not hurt self bc RVP127 will cover usage)</t>
  </si>
  <si>
    <t>Plastic Shower Valve Flange (not important)</t>
  </si>
  <si>
    <t>Spout For Garden Tub Faucet(menards has in RV assrt)</t>
  </si>
  <si>
    <t>Diverter Spout For Tub/Shower RV Faucet (Menards has in RV assrt)</t>
  </si>
  <si>
    <t>CP Diverter Tub Spout - Front Diverter (popular but exactly the same as in Plumbpak)</t>
  </si>
  <si>
    <t>Brass Stem - C1727H(likely have some in faucet repair but difficult to see crossover- this is specific to Phoenix faucets for RV)</t>
  </si>
  <si>
    <t>Drive In Latch, Metal (sold at world and main as part of mobile home program)</t>
  </si>
  <si>
    <t>Bathtub Pop-Stop Drain, White (like 22956 but white)</t>
  </si>
  <si>
    <t>CP Bath Drain, Touch-Toe (lock nuts to hold to floor of tub) like 083, 8' only</t>
  </si>
  <si>
    <t>CP Bath Drain, Grid Strainer Style (lock nut to attach to tub of floor)</t>
  </si>
  <si>
    <t>4-1/2"" Flat Sink/Shower Strainer (lock nut to attach to floor)</t>
  </si>
  <si>
    <t>Diverter Parts For Tub Spouts (used in both but in regular homes too- exactly the same)</t>
  </si>
  <si>
    <t>Acrylic Faucet Handles, Smoke (like 067)</t>
  </si>
  <si>
    <t>CP Handles For Streamway (was biggest faucet manuf for mobile home and rv both…millions out there)</t>
  </si>
  <si>
    <t>3-Handle Tub/Shower Faucet Complete (locknut to wall)</t>
  </si>
  <si>
    <t>2-Handle Tub/Shower Faucet Complete (locknut to wall)</t>
  </si>
  <si>
    <t>CP Tub Spout (like Danco diverter spout)</t>
  </si>
  <si>
    <t>White Plastic Shower Head (hits a price point - is at walmart)</t>
  </si>
  <si>
    <t>CP Spout for Kitchen Faucet (slow mover)</t>
  </si>
  <si>
    <t>Female Threaded Plastic Toilet Floor Flange (HD puts on side endcap)</t>
  </si>
  <si>
    <t>2J-6H Brass Streamway Stem, Hot (stem cells on decline…just not diverter cells)</t>
  </si>
  <si>
    <t>2J-3H Brass Streamway Stem, Hot</t>
  </si>
  <si>
    <t>Heaters</t>
  </si>
  <si>
    <t>104850</t>
  </si>
  <si>
    <t>131814</t>
  </si>
  <si>
    <t>303270</t>
  </si>
  <si>
    <t>503407</t>
  </si>
  <si>
    <t>503408</t>
  </si>
  <si>
    <t>505300</t>
  </si>
  <si>
    <t>505301</t>
  </si>
  <si>
    <t>505303</t>
  </si>
  <si>
    <t>505304</t>
  </si>
  <si>
    <t>520400</t>
  </si>
  <si>
    <t>520401</t>
  </si>
  <si>
    <t>520405</t>
  </si>
  <si>
    <t>520406</t>
  </si>
  <si>
    <t>520409</t>
  </si>
  <si>
    <t>520410</t>
  </si>
  <si>
    <t>520420</t>
  </si>
  <si>
    <t>520425</t>
  </si>
  <si>
    <t>520430</t>
  </si>
  <si>
    <t>520435</t>
  </si>
  <si>
    <t>524201</t>
  </si>
  <si>
    <t>524203</t>
  </si>
  <si>
    <t>531100</t>
  </si>
  <si>
    <t>531102</t>
  </si>
  <si>
    <t>531103</t>
  </si>
  <si>
    <t>531104</t>
  </si>
  <si>
    <t>537591</t>
  </si>
  <si>
    <t>601291</t>
  </si>
  <si>
    <t>601295</t>
  </si>
  <si>
    <t>603680</t>
  </si>
  <si>
    <t>655507</t>
  </si>
  <si>
    <t>655509</t>
  </si>
  <si>
    <t>690475</t>
  </si>
  <si>
    <t>690480</t>
  </si>
  <si>
    <t>690485</t>
  </si>
  <si>
    <t>690490</t>
  </si>
  <si>
    <t>690495</t>
  </si>
  <si>
    <t>690504</t>
  </si>
  <si>
    <t>690510</t>
  </si>
  <si>
    <t>690525</t>
  </si>
  <si>
    <t>690530</t>
  </si>
  <si>
    <t>690535</t>
  </si>
  <si>
    <t>690540</t>
  </si>
  <si>
    <t>690545</t>
  </si>
  <si>
    <t>690550</t>
  </si>
  <si>
    <t>690555</t>
  </si>
  <si>
    <t>690565</t>
  </si>
  <si>
    <t>690570</t>
  </si>
  <si>
    <t>690585</t>
  </si>
  <si>
    <t>690590</t>
  </si>
  <si>
    <t>690592</t>
  </si>
  <si>
    <t>690593</t>
  </si>
  <si>
    <t>690594</t>
  </si>
  <si>
    <t>690595</t>
  </si>
  <si>
    <t>690598</t>
  </si>
  <si>
    <t>690599</t>
  </si>
  <si>
    <t>690600</t>
  </si>
  <si>
    <t>690601</t>
  </si>
  <si>
    <t>690602</t>
  </si>
  <si>
    <t>690608</t>
  </si>
  <si>
    <t>VBU #</t>
  </si>
  <si>
    <t>WAM Model</t>
  </si>
  <si>
    <t>Lowes?</t>
  </si>
  <si>
    <t>Inner Pack</t>
  </si>
  <si>
    <t>Revised Inner Pack</t>
  </si>
  <si>
    <t>Master Pack</t>
  </si>
  <si>
    <t>Projected Annual Sales Units</t>
  </si>
  <si>
    <t>P.O. Cost</t>
  </si>
  <si>
    <t># of Stocked Stores</t>
  </si>
  <si>
    <t>Projected Avg IOH Units</t>
  </si>
  <si>
    <t>Store Roll Out</t>
  </si>
  <si>
    <t>DC Buffer</t>
  </si>
  <si>
    <t>Total Launch Need</t>
  </si>
  <si>
    <t>891178</t>
  </si>
  <si>
    <t>891223</t>
  </si>
  <si>
    <t>891224</t>
  </si>
  <si>
    <t>891248</t>
  </si>
  <si>
    <t>These are the other Merchants</t>
  </si>
  <si>
    <t>730007001662</t>
  </si>
  <si>
    <t>730007926088</t>
  </si>
  <si>
    <t>730007926033</t>
  </si>
  <si>
    <t>730007001679</t>
  </si>
  <si>
    <t>730007926095</t>
  </si>
  <si>
    <t>730007001884</t>
  </si>
  <si>
    <t>730007001891</t>
  </si>
  <si>
    <t>730007001907</t>
  </si>
  <si>
    <t>730007001969</t>
  </si>
  <si>
    <t>730007001976</t>
  </si>
  <si>
    <t>730007001433</t>
  </si>
  <si>
    <t>730007001914</t>
  </si>
  <si>
    <t>730007001594</t>
  </si>
  <si>
    <t>730007001617</t>
  </si>
  <si>
    <t>730007001624</t>
  </si>
  <si>
    <t>730007001983</t>
  </si>
  <si>
    <t>730007001990</t>
  </si>
  <si>
    <t>730007926071</t>
  </si>
  <si>
    <t>730007926064</t>
  </si>
  <si>
    <t>730007926057</t>
  </si>
  <si>
    <t>730007001648</t>
  </si>
  <si>
    <t>730007001563</t>
  </si>
  <si>
    <t>730007001280</t>
  </si>
  <si>
    <t>730007001242</t>
  </si>
  <si>
    <t>730007001211</t>
  </si>
  <si>
    <t>730007001549</t>
  </si>
  <si>
    <t>730007001556</t>
  </si>
  <si>
    <t>730007001204</t>
  </si>
  <si>
    <t>730007001150</t>
  </si>
  <si>
    <t>730007001167</t>
  </si>
  <si>
    <t>730007001174</t>
  </si>
  <si>
    <t>730007002027</t>
  </si>
  <si>
    <t>730007001686</t>
  </si>
  <si>
    <t>730007002003</t>
  </si>
  <si>
    <t>730007001921</t>
  </si>
  <si>
    <t>730007001846</t>
  </si>
  <si>
    <t>730007001693</t>
  </si>
  <si>
    <t>730007001853</t>
  </si>
  <si>
    <t>730007001938</t>
  </si>
  <si>
    <t>730007926118</t>
  </si>
  <si>
    <t>730007001013</t>
  </si>
  <si>
    <t>730007926163</t>
  </si>
  <si>
    <t>730007926149</t>
  </si>
  <si>
    <t>730007001297</t>
  </si>
  <si>
    <t>730007926132</t>
  </si>
  <si>
    <t>730007001587</t>
  </si>
  <si>
    <t>730007001259</t>
  </si>
  <si>
    <t>730007001266</t>
  </si>
  <si>
    <t>730007001273</t>
  </si>
  <si>
    <t>730007002034</t>
  </si>
  <si>
    <t>730007001631</t>
  </si>
  <si>
    <t>730007001358</t>
  </si>
  <si>
    <t>730007001389</t>
  </si>
  <si>
    <t>730007001709</t>
  </si>
  <si>
    <t>730007001716</t>
  </si>
  <si>
    <t>730007001723</t>
  </si>
  <si>
    <t>730007001730</t>
  </si>
  <si>
    <t>730007001945</t>
  </si>
  <si>
    <t>730007926170</t>
  </si>
  <si>
    <t>730007001440</t>
  </si>
  <si>
    <t>730007001532</t>
  </si>
  <si>
    <t>730007001334</t>
  </si>
  <si>
    <t>730007926125</t>
  </si>
  <si>
    <t>730007001877</t>
  </si>
  <si>
    <t>730007001228</t>
  </si>
  <si>
    <t>730007001051</t>
  </si>
  <si>
    <t>730007001068</t>
  </si>
  <si>
    <t>730007001075</t>
  </si>
  <si>
    <t>730007001082</t>
  </si>
  <si>
    <t>730007001099</t>
  </si>
  <si>
    <t>730007001112</t>
  </si>
  <si>
    <t>730007001129</t>
  </si>
  <si>
    <t>730007001136</t>
  </si>
  <si>
    <t>730007001020</t>
  </si>
  <si>
    <t>730007001037</t>
  </si>
  <si>
    <t>730007926187</t>
  </si>
  <si>
    <t>730007001747</t>
  </si>
  <si>
    <t>730007926156</t>
  </si>
  <si>
    <t>730007001761</t>
  </si>
  <si>
    <t>730007001778</t>
  </si>
  <si>
    <t>730007001785</t>
  </si>
  <si>
    <t>730007001860</t>
  </si>
  <si>
    <t>730007001792</t>
  </si>
  <si>
    <t>730007001303</t>
  </si>
  <si>
    <t>730007001310</t>
  </si>
  <si>
    <t>730007001327</t>
  </si>
  <si>
    <t>730007001808</t>
  </si>
  <si>
    <t>730007001815</t>
  </si>
  <si>
    <t>730007001822</t>
  </si>
  <si>
    <t>730007001839</t>
  </si>
  <si>
    <t>730007001600</t>
  </si>
  <si>
    <t>TEMPLATE</t>
  </si>
  <si>
    <t>MINS</t>
  </si>
  <si>
    <t>* Remove N/A's (leave blank)</t>
  </si>
  <si>
    <t>ELC</t>
  </si>
  <si>
    <t>1"</t>
  </si>
  <si>
    <t>5"</t>
  </si>
  <si>
    <t>7"</t>
  </si>
  <si>
    <t>1#</t>
  </si>
  <si>
    <t>Store Data</t>
  </si>
  <si>
    <t>In Program Yes / No</t>
  </si>
  <si>
    <t>Vendor#</t>
    <phoneticPr fontId="20" type="noConversion"/>
  </si>
  <si>
    <t>Vendor Name</t>
    <phoneticPr fontId="20" type="noConversion"/>
  </si>
  <si>
    <t>Pier</t>
  </si>
  <si>
    <t>FOB Price</t>
    <phoneticPr fontId="20" type="noConversion"/>
  </si>
  <si>
    <t>Current Package</t>
    <phoneticPr fontId="20" type="noConversion"/>
  </si>
  <si>
    <t>Card</t>
    <phoneticPr fontId="20" type="noConversion"/>
  </si>
  <si>
    <t>Item Number</t>
    <phoneticPr fontId="20" type="noConversion"/>
  </si>
  <si>
    <t>MFGR Number</t>
    <phoneticPr fontId="20" type="noConversion"/>
  </si>
  <si>
    <t>comment</t>
    <phoneticPr fontId="20" type="noConversion"/>
  </si>
  <si>
    <t>Tooling cost</t>
    <phoneticPr fontId="20" type="noConversion"/>
  </si>
  <si>
    <t>UPC</t>
  </si>
  <si>
    <t>Innerpack Qty (units)</t>
  </si>
  <si>
    <t>Innerpack Height (in)</t>
  </si>
  <si>
    <t>Innerpack Width (in)</t>
  </si>
  <si>
    <t>Innerpack Depth (in)</t>
  </si>
  <si>
    <t>Innerpack Weight (lbs)</t>
  </si>
  <si>
    <t>Innerpack Cube (linear ft.)</t>
  </si>
  <si>
    <t>Case Qty (units)</t>
  </si>
  <si>
    <t>Case Height (in)</t>
  </si>
  <si>
    <t>Case Width (in)</t>
  </si>
  <si>
    <t>Case Depth (in)</t>
  </si>
  <si>
    <t>Case Weight (lbs)</t>
  </si>
  <si>
    <t>Confirm Case Height (in)</t>
  </si>
  <si>
    <t>CONFIRM Case Width (in)</t>
  </si>
  <si>
    <t>CONFIRM Case Depth (in)</t>
  </si>
  <si>
    <t>CONFIRM Case Weight (lbs)</t>
  </si>
  <si>
    <t>WEX</t>
  </si>
  <si>
    <t>Flow</t>
  </si>
  <si>
    <t>Import/Domestic</t>
  </si>
  <si>
    <t>TDC?</t>
  </si>
  <si>
    <t>PO Cost</t>
  </si>
  <si>
    <t>Inner</t>
  </si>
  <si>
    <r>
      <t xml:space="preserve">Case </t>
    </r>
    <r>
      <rPr>
        <b/>
        <sz val="9"/>
        <color theme="1"/>
        <rFont val="Calibri"/>
        <family val="2"/>
      </rPr>
      <t>∆</t>
    </r>
  </si>
  <si>
    <t>Revised Innerpack Height (in)</t>
  </si>
  <si>
    <t>Revised Innerpack Width (in)</t>
  </si>
  <si>
    <t>Revised Innerpack Depth (in)</t>
  </si>
  <si>
    <t>Revised Innerpack Weight (lbs)</t>
  </si>
  <si>
    <t>CONFIRM Item inner Height (in)</t>
  </si>
  <si>
    <t>CONFIRM Item inner Width (in)</t>
  </si>
  <si>
    <t>CONFIRM Item inner  Depth (in)</t>
  </si>
  <si>
    <t>CONFIRM Item inner  Weight (lbs)</t>
  </si>
  <si>
    <t>CONFIRM Item inner  Cube (linear ft.)</t>
  </si>
  <si>
    <t>WOS MC</t>
  </si>
  <si>
    <t>Min Units/Store (WOS min)</t>
  </si>
  <si>
    <t>Units/Store (MC min)</t>
  </si>
  <si>
    <t>Store Max (MC or WOS)</t>
  </si>
  <si>
    <t xml:space="preserve">Avg Final SPM (Units)* </t>
  </si>
  <si>
    <t>JOB LOT SPM</t>
  </si>
  <si>
    <t>PRO
/CBC SPM</t>
  </si>
  <si>
    <t>PMIN SPM</t>
  </si>
  <si>
    <t>Display</t>
  </si>
  <si>
    <t>Units/Store Final</t>
  </si>
  <si>
    <t>Store Final WOS</t>
  </si>
  <si>
    <t>Product Type</t>
  </si>
  <si>
    <t>Comments</t>
  </si>
  <si>
    <t>Amy's comments/questions to Andrew</t>
  </si>
  <si>
    <t>Notes / questions for Siri</t>
  </si>
  <si>
    <t>Launch Forecast from Amy's sheet. JSC FINAL ITEM LIST</t>
  </si>
  <si>
    <t>Annual Forecast from Amy's sheet. JSC FINAL ITEM LIST</t>
  </si>
  <si>
    <t>INNER from Amy's sheet</t>
  </si>
  <si>
    <t>Master Pack from Amy's sheet</t>
  </si>
  <si>
    <t>MS NEEDS TO BE</t>
  </si>
  <si>
    <t>MS/IN needs to be whole #</t>
  </si>
  <si>
    <t>Drawings number</t>
  </si>
  <si>
    <t>Listing required Y/N</t>
  </si>
  <si>
    <t>Applicable standard</t>
  </si>
  <si>
    <t>REQUIRED MOQ</t>
  </si>
  <si>
    <t>RVP063</t>
    <phoneticPr fontId="20" type="noConversion"/>
  </si>
  <si>
    <t>3070</t>
  </si>
  <si>
    <t>KENT FAUCET CO LTD</t>
  </si>
  <si>
    <t>5,27</t>
    <phoneticPr fontId="20" type="noConversion"/>
  </si>
  <si>
    <t>plastic bag with hanger card</t>
    <phoneticPr fontId="20" type="noConversion"/>
  </si>
  <si>
    <t>690501</t>
    <phoneticPr fontId="20" type="noConversion"/>
  </si>
  <si>
    <t>P-005PB</t>
    <phoneticPr fontId="20" type="noConversion"/>
  </si>
  <si>
    <t>this price based on Kent, but in the spreadsheet form Andrew said use different model Runner version</t>
    <phoneticPr fontId="20" type="noConversion"/>
  </si>
  <si>
    <t>N</t>
  </si>
  <si>
    <t>Trap</t>
  </si>
  <si>
    <t>Domestic</t>
  </si>
  <si>
    <t>reduced Inner Pack</t>
  </si>
  <si>
    <t>51105</t>
  </si>
  <si>
    <t>JIANDE CITY FEILONG ELECTRICAL</t>
  </si>
  <si>
    <t>16.56</t>
    <phoneticPr fontId="20" type="noConversion"/>
  </si>
  <si>
    <t>paper sleeve</t>
    <phoneticPr fontId="20" type="noConversion"/>
  </si>
  <si>
    <t>503414</t>
    <phoneticPr fontId="20" type="noConversion"/>
  </si>
  <si>
    <t>RV-687</t>
    <phoneticPr fontId="20" type="noConversion"/>
  </si>
  <si>
    <t>6.37</t>
    <phoneticPr fontId="20" type="noConversion"/>
  </si>
  <si>
    <t>690507</t>
    <phoneticPr fontId="20" type="noConversion"/>
  </si>
  <si>
    <t>P-050B</t>
    <phoneticPr fontId="20" type="noConversion"/>
  </si>
  <si>
    <t>USA but might change to Taiwan</t>
  </si>
  <si>
    <t>5.92</t>
    <phoneticPr fontId="20" type="noConversion"/>
  </si>
  <si>
    <t>Source in USA</t>
    <phoneticPr fontId="20" type="noConversion"/>
  </si>
  <si>
    <t>Garden</t>
  </si>
  <si>
    <t>5660</t>
  </si>
  <si>
    <t>H BERGER CO.CHINA-PLUMBING</t>
  </si>
  <si>
    <t>5.8</t>
    <phoneticPr fontId="20" type="noConversion"/>
  </si>
  <si>
    <t>RV-301B</t>
    <phoneticPr fontId="20" type="noConversion"/>
  </si>
  <si>
    <t>Hongtai price includes hanger bag package</t>
  </si>
  <si>
    <t>$500</t>
    <phoneticPr fontId="20" type="noConversion"/>
  </si>
  <si>
    <t>NINGBO LONGXIN(not setup yet)</t>
    <phoneticPr fontId="20" type="noConversion"/>
  </si>
  <si>
    <t>8.9</t>
    <phoneticPr fontId="20" type="noConversion"/>
  </si>
  <si>
    <t>box</t>
    <phoneticPr fontId="20" type="noConversion"/>
  </si>
  <si>
    <t>NEED TO DEVELOP CLAMSHELL TOOLING</t>
    <phoneticPr fontId="20" type="noConversion"/>
  </si>
  <si>
    <t>no change</t>
  </si>
  <si>
    <t>CP Non-Metallic Kitchen Faucet Two-Handle Less Spray</t>
    <phoneticPr fontId="20" type="noConversion"/>
  </si>
  <si>
    <t>10465</t>
  </si>
  <si>
    <t>XIAMEN EASO CO LTD</t>
  </si>
  <si>
    <t>3.6966</t>
    <phoneticPr fontId="20" type="noConversion"/>
  </si>
  <si>
    <t>clamshell</t>
    <phoneticPr fontId="20" type="noConversion"/>
  </si>
  <si>
    <t>655510</t>
    <phoneticPr fontId="20" type="noConversion"/>
  </si>
  <si>
    <t>1551010</t>
    <phoneticPr fontId="20" type="noConversion"/>
  </si>
  <si>
    <t>5.3934</t>
    <phoneticPr fontId="20" type="noConversion"/>
  </si>
  <si>
    <t>655515</t>
    <phoneticPr fontId="20" type="noConversion"/>
  </si>
  <si>
    <t>1551015</t>
    <phoneticPr fontId="20" type="noConversion"/>
  </si>
  <si>
    <t>2.74</t>
    <phoneticPr fontId="20" type="noConversion"/>
  </si>
  <si>
    <t>655500</t>
    <phoneticPr fontId="20" type="noConversion"/>
  </si>
  <si>
    <t>1551110</t>
    <phoneticPr fontId="20" type="noConversion"/>
  </si>
  <si>
    <t>51100</t>
  </si>
  <si>
    <t>JIANGSHAN RISEN MACHINE CO.LTD</t>
  </si>
  <si>
    <t>2.66</t>
    <phoneticPr fontId="20" type="noConversion"/>
  </si>
  <si>
    <t>blister card</t>
    <phoneticPr fontId="20" type="noConversion"/>
  </si>
  <si>
    <t>690608</t>
    <phoneticPr fontId="20" type="noConversion"/>
  </si>
  <si>
    <t>RV-321C</t>
    <phoneticPr fontId="20" type="noConversion"/>
  </si>
  <si>
    <t>reduced Inner Pack - dimensions will be close</t>
  </si>
  <si>
    <t>can we make the inner pack 5" x 8.25" x 3.25"?  Yes, add filler</t>
  </si>
  <si>
    <t>4.14</t>
    <phoneticPr fontId="20" type="noConversion"/>
  </si>
  <si>
    <t>hang card</t>
    <phoneticPr fontId="20" type="noConversion"/>
  </si>
  <si>
    <t>503412</t>
    <phoneticPr fontId="20" type="noConversion"/>
  </si>
  <si>
    <t>RV-346B</t>
    <phoneticPr fontId="20" type="noConversion"/>
  </si>
  <si>
    <t>10475</t>
  </si>
  <si>
    <t>CHI LIU ENTERPRISES CO</t>
  </si>
  <si>
    <t>4.02</t>
    <phoneticPr fontId="20" type="noConversion"/>
  </si>
  <si>
    <t>690475</t>
    <phoneticPr fontId="20" type="noConversion"/>
  </si>
  <si>
    <t>RV-013B</t>
    <phoneticPr fontId="20" type="noConversion"/>
  </si>
  <si>
    <t>51098</t>
  </si>
  <si>
    <t>YANGZHOU HUANYU TOOLS CO.LTD</t>
  </si>
  <si>
    <t>1.26</t>
    <phoneticPr fontId="20" type="noConversion"/>
  </si>
  <si>
    <t>color box</t>
    <phoneticPr fontId="20" type="noConversion"/>
  </si>
  <si>
    <t>690571</t>
    <phoneticPr fontId="20" type="noConversion"/>
  </si>
  <si>
    <t>V-057IB</t>
    <phoneticPr fontId="20" type="noConversion"/>
  </si>
  <si>
    <t>1.12</t>
    <phoneticPr fontId="20" type="noConversion"/>
  </si>
  <si>
    <t>690575</t>
    <phoneticPr fontId="20" type="noConversion"/>
  </si>
  <si>
    <t>V-056IB</t>
    <phoneticPr fontId="20" type="noConversion"/>
  </si>
  <si>
    <t>2.79</t>
    <phoneticPr fontId="20" type="noConversion"/>
  </si>
  <si>
    <t>692607</t>
    <phoneticPr fontId="20" type="noConversion"/>
  </si>
  <si>
    <t>10461</t>
  </si>
  <si>
    <t>RUNNER CORPORATION-NINGBO</t>
  </si>
  <si>
    <t>1.176</t>
    <phoneticPr fontId="20" type="noConversion"/>
  </si>
  <si>
    <t>655509</t>
    <phoneticPr fontId="20" type="noConversion"/>
  </si>
  <si>
    <t>P-139C</t>
    <phoneticPr fontId="20" type="noConversion"/>
  </si>
  <si>
    <t>1.2936</t>
    <phoneticPr fontId="20" type="noConversion"/>
  </si>
  <si>
    <t>690594</t>
    <phoneticPr fontId="20" type="noConversion"/>
  </si>
  <si>
    <t>P-098C</t>
    <phoneticPr fontId="20" type="noConversion"/>
  </si>
  <si>
    <t>2.34</t>
    <phoneticPr fontId="20" type="noConversion"/>
  </si>
  <si>
    <t>503410</t>
    <phoneticPr fontId="20" type="noConversion"/>
  </si>
  <si>
    <t>RV-802B</t>
    <phoneticPr fontId="20" type="noConversion"/>
  </si>
  <si>
    <t>2.78</t>
    <phoneticPr fontId="20" type="noConversion"/>
  </si>
  <si>
    <t>503409</t>
    <phoneticPr fontId="20" type="noConversion"/>
  </si>
  <si>
    <t>RV-801B</t>
    <phoneticPr fontId="20" type="noConversion"/>
  </si>
  <si>
    <t>1.32</t>
    <phoneticPr fontId="20" type="noConversion"/>
  </si>
  <si>
    <t>690593</t>
    <phoneticPr fontId="20" type="noConversion"/>
  </si>
  <si>
    <t>P-097C</t>
    <phoneticPr fontId="20" type="noConversion"/>
  </si>
  <si>
    <t>No - maybe in phase II</t>
  </si>
  <si>
    <t>5696</t>
  </si>
  <si>
    <t>KANGYU STRAINER</t>
  </si>
  <si>
    <t>hold off for phase 2</t>
  </si>
  <si>
    <t>7180</t>
  </si>
  <si>
    <t>Domestic Vendor</t>
    <phoneticPr fontId="20" type="noConversion"/>
  </si>
  <si>
    <t>3.25</t>
    <phoneticPr fontId="20" type="noConversion"/>
  </si>
  <si>
    <t>692604</t>
    <phoneticPr fontId="20" type="noConversion"/>
  </si>
  <si>
    <t>Runnner Ningbo price is $2.3 based on blister card, tooling cost is $8550</t>
    <phoneticPr fontId="20" type="noConversion"/>
  </si>
  <si>
    <t>$8550</t>
    <phoneticPr fontId="20" type="noConversion"/>
  </si>
  <si>
    <t>1.2</t>
    <phoneticPr fontId="20" type="noConversion"/>
  </si>
  <si>
    <t>690574</t>
    <phoneticPr fontId="20" type="noConversion"/>
  </si>
  <si>
    <t>V-103WB</t>
    <phoneticPr fontId="20" type="noConversion"/>
  </si>
  <si>
    <t>7189</t>
  </si>
  <si>
    <t>NINGBO DINGYONG</t>
  </si>
  <si>
    <t>1.187</t>
    <phoneticPr fontId="20" type="noConversion"/>
  </si>
  <si>
    <t>690535</t>
    <phoneticPr fontId="20" type="noConversion"/>
  </si>
  <si>
    <t>P-674C</t>
    <phoneticPr fontId="20" type="noConversion"/>
  </si>
  <si>
    <t>no change - but the dimension might be an issue</t>
  </si>
  <si>
    <t>can we make the inner pack 7" x 6" x 4.1"?  Yes, add filler</t>
  </si>
  <si>
    <t>50929</t>
  </si>
  <si>
    <t>WUXI DAHONG PLUMBING #50929</t>
  </si>
  <si>
    <t>0.984</t>
    <phoneticPr fontId="20" type="noConversion"/>
  </si>
  <si>
    <t>690585</t>
    <phoneticPr fontId="20" type="noConversion"/>
  </si>
  <si>
    <t>RV-508B</t>
    <phoneticPr fontId="20" type="noConversion"/>
  </si>
  <si>
    <t>13790</t>
  </si>
  <si>
    <t>GOLDEN APPLE NINGBO CHANGLE</t>
  </si>
  <si>
    <t>0.609</t>
    <phoneticPr fontId="20" type="noConversion"/>
  </si>
  <si>
    <t>color bag</t>
    <phoneticPr fontId="20" type="noConversion"/>
  </si>
  <si>
    <t>333195</t>
    <phoneticPr fontId="20" type="noConversion"/>
  </si>
  <si>
    <t>DVC-M</t>
    <phoneticPr fontId="20" type="noConversion"/>
  </si>
  <si>
    <t>5687</t>
  </si>
  <si>
    <t>GUANGDONG MEIJIE FAUCET</t>
  </si>
  <si>
    <t>19.2</t>
    <phoneticPr fontId="20" type="noConversion"/>
  </si>
  <si>
    <t>white box with label</t>
    <phoneticPr fontId="20" type="noConversion"/>
  </si>
  <si>
    <t>690601</t>
    <phoneticPr fontId="20" type="noConversion"/>
  </si>
  <si>
    <t>P-001N</t>
    <phoneticPr fontId="20" type="noConversion"/>
  </si>
  <si>
    <t>1.68</t>
    <phoneticPr fontId="20" type="noConversion"/>
  </si>
  <si>
    <t>692606</t>
    <phoneticPr fontId="20" type="noConversion"/>
  </si>
  <si>
    <t>17.5</t>
    <phoneticPr fontId="20" type="noConversion"/>
  </si>
  <si>
    <t>690602</t>
    <phoneticPr fontId="20" type="noConversion"/>
  </si>
  <si>
    <t>P-004N</t>
    <phoneticPr fontId="20" type="noConversion"/>
  </si>
  <si>
    <t>0.7791</t>
    <phoneticPr fontId="20" type="noConversion"/>
  </si>
  <si>
    <t>690555</t>
    <phoneticPr fontId="20" type="noConversion"/>
  </si>
  <si>
    <t>P-102C</t>
    <phoneticPr fontId="20" type="noConversion"/>
  </si>
  <si>
    <t>increased pack to 4</t>
  </si>
  <si>
    <t>0.8428</t>
    <phoneticPr fontId="20" type="noConversion"/>
  </si>
  <si>
    <t>690598</t>
    <phoneticPr fontId="20" type="noConversion"/>
  </si>
  <si>
    <t>P-105C</t>
    <phoneticPr fontId="20" type="noConversion"/>
  </si>
  <si>
    <t>no change - but the weight might be an issue</t>
  </si>
  <si>
    <t>increased pack to 5</t>
  </si>
  <si>
    <t>Order #1? Then China</t>
  </si>
  <si>
    <t>0.79</t>
    <phoneticPr fontId="20" type="noConversion"/>
  </si>
  <si>
    <t>RV-509B</t>
    <phoneticPr fontId="20" type="noConversion"/>
  </si>
  <si>
    <t>Ningbo runner price inlcudes slide card package.</t>
    <phoneticPr fontId="20" type="noConversion"/>
  </si>
  <si>
    <t>$8200</t>
    <phoneticPr fontId="20" type="noConversion"/>
  </si>
  <si>
    <t>88904</t>
  </si>
  <si>
    <t>LOYAL BRILLIANT LTD</t>
  </si>
  <si>
    <t>0.99</t>
    <phoneticPr fontId="20" type="noConversion"/>
  </si>
  <si>
    <t>card</t>
    <phoneticPr fontId="20" type="noConversion"/>
  </si>
  <si>
    <t>520430</t>
    <phoneticPr fontId="20" type="noConversion"/>
  </si>
  <si>
    <t>WP-9708C</t>
    <phoneticPr fontId="20" type="noConversion"/>
  </si>
  <si>
    <t>reduced Inner Pack - but the weight might be an issue</t>
  </si>
  <si>
    <t>0.75</t>
    <phoneticPr fontId="20" type="noConversion"/>
  </si>
  <si>
    <t>RV-308B</t>
    <phoneticPr fontId="20" type="noConversion"/>
  </si>
  <si>
    <t>Ningbo runner price includes hanger card package.</t>
  </si>
  <si>
    <t>$10700</t>
    <phoneticPr fontId="20" type="noConversion"/>
  </si>
  <si>
    <t>0.7171</t>
    <phoneticPr fontId="20" type="noConversion"/>
  </si>
  <si>
    <t>690565</t>
    <phoneticPr fontId="20" type="noConversion"/>
  </si>
  <si>
    <t>P-040C</t>
    <phoneticPr fontId="20" type="noConversion"/>
  </si>
  <si>
    <t>51058</t>
  </si>
  <si>
    <t>JIANDE SANSEN ELECTRICAL</t>
  </si>
  <si>
    <t>1.67</t>
    <phoneticPr fontId="20" type="noConversion"/>
  </si>
  <si>
    <t>503408</t>
    <phoneticPr fontId="20" type="noConversion"/>
  </si>
  <si>
    <t>RV-490B</t>
    <phoneticPr fontId="20" type="noConversion"/>
  </si>
  <si>
    <t>1.35</t>
    <phoneticPr fontId="20" type="noConversion"/>
  </si>
  <si>
    <t>Ningbo runner price includes slide blister package</t>
    <phoneticPr fontId="20" type="noConversion"/>
  </si>
  <si>
    <t>$5800</t>
    <phoneticPr fontId="20" type="noConversion"/>
  </si>
  <si>
    <t>0.852</t>
    <phoneticPr fontId="20" type="noConversion"/>
  </si>
  <si>
    <t>530412</t>
    <phoneticPr fontId="20" type="noConversion"/>
  </si>
  <si>
    <t>RV-523C</t>
    <phoneticPr fontId="20" type="noConversion"/>
  </si>
  <si>
    <t>can we make the inner pack 3" x 7" x 5"?  Yes, add filler</t>
  </si>
  <si>
    <t>0.64</t>
    <phoneticPr fontId="20" type="noConversion"/>
  </si>
  <si>
    <t>RV-309B</t>
    <phoneticPr fontId="20" type="noConversion"/>
  </si>
  <si>
    <t>Ningbo runner price includes slide blister package</t>
  </si>
  <si>
    <t>$6600</t>
    <phoneticPr fontId="20" type="noConversion"/>
  </si>
  <si>
    <t>4.41</t>
    <phoneticPr fontId="20" type="noConversion"/>
  </si>
  <si>
    <t>690490</t>
    <phoneticPr fontId="20" type="noConversion"/>
  </si>
  <si>
    <t>P-008PN</t>
    <phoneticPr fontId="20" type="noConversion"/>
  </si>
  <si>
    <t>0.78</t>
    <phoneticPr fontId="20" type="noConversion"/>
  </si>
  <si>
    <t>692610</t>
    <phoneticPr fontId="20" type="noConversion"/>
  </si>
  <si>
    <t>1.45</t>
    <phoneticPr fontId="20" type="noConversion"/>
  </si>
  <si>
    <t>503407</t>
    <phoneticPr fontId="20" type="noConversion"/>
  </si>
  <si>
    <t>RV-488C</t>
    <phoneticPr fontId="20" type="noConversion"/>
  </si>
  <si>
    <t>0.408</t>
    <phoneticPr fontId="20" type="noConversion"/>
  </si>
  <si>
    <t>530413</t>
    <phoneticPr fontId="20" type="noConversion"/>
  </si>
  <si>
    <t>RV-867C</t>
    <phoneticPr fontId="20" type="noConversion"/>
  </si>
  <si>
    <t>can we make the inner pack 5" x 7" x 3.1"?  Yes, add filler</t>
  </si>
  <si>
    <t>0.53</t>
    <phoneticPr fontId="20" type="noConversion"/>
  </si>
  <si>
    <t>RV-331B</t>
    <phoneticPr fontId="20" type="noConversion"/>
  </si>
  <si>
    <t>0.68</t>
    <phoneticPr fontId="20" type="noConversion"/>
  </si>
  <si>
    <t>690510</t>
    <phoneticPr fontId="20" type="noConversion"/>
  </si>
  <si>
    <t>P-045C</t>
    <phoneticPr fontId="20" type="noConversion"/>
  </si>
  <si>
    <t>Andrew - how is this different from row 140? Can we delete one?  No, need both they have different broaches and fit different stems</t>
  </si>
  <si>
    <t>0.52</t>
    <phoneticPr fontId="20" type="noConversion"/>
  </si>
  <si>
    <t>503406</t>
    <phoneticPr fontId="20" type="noConversion"/>
  </si>
  <si>
    <t>RV-307C</t>
    <phoneticPr fontId="20" type="noConversion"/>
  </si>
  <si>
    <t>730007002010</t>
  </si>
  <si>
    <t>no change - but the dimension and weight might be an issue</t>
  </si>
  <si>
    <t>increased pack to 8</t>
  </si>
  <si>
    <t>0.335</t>
    <phoneticPr fontId="20" type="noConversion"/>
  </si>
  <si>
    <t>530414</t>
    <phoneticPr fontId="20" type="noConversion"/>
  </si>
  <si>
    <t>RV-525C</t>
    <phoneticPr fontId="20" type="noConversion"/>
  </si>
  <si>
    <t>increased pack to 10</t>
  </si>
  <si>
    <t>0.4802</t>
    <phoneticPr fontId="20" type="noConversion"/>
  </si>
  <si>
    <t>690592</t>
    <phoneticPr fontId="20" type="noConversion"/>
  </si>
  <si>
    <t>P-608C</t>
    <phoneticPr fontId="20" type="noConversion"/>
  </si>
  <si>
    <t>503405</t>
    <phoneticPr fontId="20" type="noConversion"/>
  </si>
  <si>
    <t>RV-320C</t>
    <phoneticPr fontId="20" type="noConversion"/>
  </si>
  <si>
    <t>730007002041</t>
  </si>
  <si>
    <t>7190</t>
  </si>
  <si>
    <t>EVERFLOW INDUSTRIAL SUPPLY COR</t>
  </si>
  <si>
    <t>0.498</t>
    <phoneticPr fontId="20" type="noConversion"/>
  </si>
  <si>
    <t>640248</t>
    <phoneticPr fontId="20" type="noConversion"/>
  </si>
  <si>
    <t>C1066HC</t>
    <phoneticPr fontId="20" type="noConversion"/>
  </si>
  <si>
    <t>50904</t>
  </si>
  <si>
    <t>YUYAO CITY DETAI</t>
  </si>
  <si>
    <t>0.515</t>
    <phoneticPr fontId="20" type="noConversion"/>
  </si>
  <si>
    <t>blister card</t>
  </si>
  <si>
    <t>531103</t>
    <phoneticPr fontId="20" type="noConversion"/>
  </si>
  <si>
    <t>RV-200C</t>
    <phoneticPr fontId="20" type="noConversion"/>
  </si>
  <si>
    <t>730007001238</t>
  </si>
  <si>
    <t>0.38</t>
    <phoneticPr fontId="20" type="noConversion"/>
  </si>
  <si>
    <t>RV379B</t>
    <phoneticPr fontId="20" type="noConversion"/>
  </si>
  <si>
    <t>$5500</t>
    <phoneticPr fontId="20" type="noConversion"/>
  </si>
  <si>
    <t>0.63</t>
    <phoneticPr fontId="20" type="noConversion"/>
  </si>
  <si>
    <t>690556</t>
    <phoneticPr fontId="20" type="noConversion"/>
  </si>
  <si>
    <t>P-1358C</t>
    <phoneticPr fontId="20" type="noConversion"/>
  </si>
  <si>
    <t>50640</t>
  </si>
  <si>
    <t>BRIGHTVILLE / SHANGHAI PRIME</t>
  </si>
  <si>
    <t>0.475</t>
    <phoneticPr fontId="20" type="noConversion"/>
  </si>
  <si>
    <t>531104</t>
    <phoneticPr fontId="20" type="noConversion"/>
  </si>
  <si>
    <t>RV-358C</t>
    <phoneticPr fontId="20" type="noConversion"/>
  </si>
  <si>
    <t>bulk(the cost in column G is with blister card)</t>
    <phoneticPr fontId="20" type="noConversion"/>
  </si>
  <si>
    <t>301108</t>
    <phoneticPr fontId="20" type="noConversion"/>
  </si>
  <si>
    <t>2283B</t>
    <phoneticPr fontId="20" type="noConversion"/>
  </si>
  <si>
    <t>same price as RVP003</t>
    <phoneticPr fontId="20" type="noConversion"/>
  </si>
  <si>
    <t>0.381</t>
    <phoneticPr fontId="20" type="noConversion"/>
  </si>
  <si>
    <t>303270</t>
    <phoneticPr fontId="20" type="noConversion"/>
  </si>
  <si>
    <t>C1740CH</t>
    <phoneticPr fontId="20" type="noConversion"/>
  </si>
  <si>
    <t>51025</t>
  </si>
  <si>
    <t>ZHONGSHAN HUAFENG LOCK CO.</t>
  </si>
  <si>
    <t>3.54</t>
    <phoneticPr fontId="20" type="noConversion"/>
  </si>
  <si>
    <t>520400</t>
    <phoneticPr fontId="20" type="noConversion"/>
  </si>
  <si>
    <t>D-090B</t>
    <phoneticPr fontId="20" type="noConversion"/>
  </si>
  <si>
    <t>3.37</t>
    <phoneticPr fontId="20" type="noConversion"/>
  </si>
  <si>
    <t>520409</t>
    <phoneticPr fontId="20" type="noConversion"/>
  </si>
  <si>
    <t>D-113B</t>
    <phoneticPr fontId="20" type="noConversion"/>
  </si>
  <si>
    <t>503413</t>
    <phoneticPr fontId="20" type="noConversion"/>
  </si>
  <si>
    <t>RV-347B</t>
    <phoneticPr fontId="20" type="noConversion"/>
  </si>
  <si>
    <t>2.36</t>
    <phoneticPr fontId="20" type="noConversion"/>
  </si>
  <si>
    <t>520420</t>
    <phoneticPr fontId="20" type="noConversion"/>
  </si>
  <si>
    <t>D-600B</t>
    <phoneticPr fontId="20" type="noConversion"/>
  </si>
  <si>
    <t>2.28</t>
    <phoneticPr fontId="20" type="noConversion"/>
  </si>
  <si>
    <t>520425</t>
    <phoneticPr fontId="20" type="noConversion"/>
  </si>
  <si>
    <t>D-601B</t>
    <phoneticPr fontId="20" type="noConversion"/>
  </si>
  <si>
    <t>50505</t>
  </si>
  <si>
    <t>HUIZHOU JIAXIN RUBBER(MS LIU)</t>
  </si>
  <si>
    <t>0.2014</t>
    <phoneticPr fontId="20" type="noConversion"/>
  </si>
  <si>
    <t>650070</t>
    <phoneticPr fontId="20" type="noConversion"/>
  </si>
  <si>
    <t>C0494</t>
    <phoneticPr fontId="20" type="noConversion"/>
  </si>
  <si>
    <t>50235</t>
  </si>
  <si>
    <t>AQUAMATE INDUSTRIAL CO LTD</t>
  </si>
  <si>
    <t>0.205</t>
    <phoneticPr fontId="20" type="noConversion"/>
  </si>
  <si>
    <t>tie card</t>
    <phoneticPr fontId="20" type="noConversion"/>
  </si>
  <si>
    <t>104857</t>
    <phoneticPr fontId="20" type="noConversion"/>
  </si>
  <si>
    <t>0.48</t>
    <phoneticPr fontId="20" type="noConversion"/>
  </si>
  <si>
    <t>692615</t>
    <phoneticPr fontId="20" type="noConversion"/>
  </si>
  <si>
    <t>increased pack to 6.  Need to add filler to make inner pack 3.15" x 5" x 7"</t>
  </si>
  <si>
    <t>50332</t>
  </si>
  <si>
    <t>JIANGYIN JINQIYANG HARDWARE</t>
  </si>
  <si>
    <t>0.19</t>
    <phoneticPr fontId="20" type="noConversion"/>
  </si>
  <si>
    <t>520407</t>
    <phoneticPr fontId="20" type="noConversion"/>
  </si>
  <si>
    <t>D-138C</t>
    <phoneticPr fontId="20" type="noConversion"/>
  </si>
  <si>
    <t>increased pack to 15.  Need to add filler to make inner pack 3.3" x 5" x 7"</t>
  </si>
  <si>
    <t>0.35</t>
    <phoneticPr fontId="20" type="noConversion"/>
  </si>
  <si>
    <t>692612</t>
    <phoneticPr fontId="20" type="noConversion"/>
  </si>
  <si>
    <t>2284</t>
    <phoneticPr fontId="20" type="noConversion"/>
  </si>
  <si>
    <t>increased pack to 6.  Need to add filler to make inner pack 5" x 2.62" x 7"</t>
  </si>
  <si>
    <t>0.3</t>
    <phoneticPr fontId="20" type="noConversion"/>
  </si>
  <si>
    <t>692603</t>
    <phoneticPr fontId="20" type="noConversion"/>
  </si>
  <si>
    <t>2284W</t>
    <phoneticPr fontId="20" type="noConversion"/>
  </si>
  <si>
    <t>301109</t>
    <phoneticPr fontId="20" type="noConversion"/>
  </si>
  <si>
    <t>2284B</t>
    <phoneticPr fontId="20" type="noConversion"/>
  </si>
  <si>
    <t>samp price as RVP004</t>
    <phoneticPr fontId="20" type="noConversion"/>
  </si>
  <si>
    <t>4.53</t>
    <phoneticPr fontId="20" type="noConversion"/>
  </si>
  <si>
    <t>690485</t>
    <phoneticPr fontId="20" type="noConversion"/>
  </si>
  <si>
    <t>RV-035B</t>
    <phoneticPr fontId="20" type="noConversion"/>
  </si>
  <si>
    <t>Plumbing</t>
    <phoneticPr fontId="20" type="noConversion"/>
  </si>
  <si>
    <t>88745</t>
  </si>
  <si>
    <t>TY MANUFACTURING IMPORT/EXPORT</t>
  </si>
  <si>
    <t>1.18</t>
    <phoneticPr fontId="20" type="noConversion"/>
  </si>
  <si>
    <t>POLY BAG W/ UPC</t>
    <phoneticPr fontId="20" type="noConversion"/>
  </si>
  <si>
    <t>537591</t>
    <phoneticPr fontId="20" type="noConversion"/>
  </si>
  <si>
    <t>41971</t>
    <phoneticPr fontId="20" type="noConversion"/>
  </si>
  <si>
    <t>2.05</t>
    <phoneticPr fontId="20" type="noConversion"/>
  </si>
  <si>
    <t>640080</t>
    <phoneticPr fontId="20" type="noConversion"/>
  </si>
  <si>
    <t>C426</t>
    <phoneticPr fontId="20" type="noConversion"/>
  </si>
  <si>
    <t>10460</t>
  </si>
  <si>
    <t>RUNNER CORPORATION</t>
  </si>
  <si>
    <t>0.4646</t>
    <phoneticPr fontId="20" type="noConversion"/>
  </si>
  <si>
    <t>655507</t>
    <phoneticPr fontId="20" type="noConversion"/>
  </si>
  <si>
    <t>P-332C</t>
    <phoneticPr fontId="20" type="noConversion"/>
  </si>
  <si>
    <t>690504</t>
    <phoneticPr fontId="20" type="noConversion"/>
  </si>
  <si>
    <t>P-675C</t>
    <phoneticPr fontId="20" type="noConversion"/>
  </si>
  <si>
    <t>0.5096</t>
    <phoneticPr fontId="20" type="noConversion"/>
  </si>
  <si>
    <t>690596</t>
    <phoneticPr fontId="20" type="noConversion"/>
  </si>
  <si>
    <t>P-081C</t>
    <phoneticPr fontId="20" type="noConversion"/>
  </si>
  <si>
    <t>0.89</t>
    <phoneticPr fontId="20" type="noConversion"/>
  </si>
  <si>
    <t>520435</t>
    <phoneticPr fontId="20" type="noConversion"/>
  </si>
  <si>
    <t>D-628C</t>
    <phoneticPr fontId="20" type="noConversion"/>
  </si>
  <si>
    <t>not on my file - do we really need this?  No, this can be phase 2</t>
  </si>
  <si>
    <t>2499</t>
  </si>
  <si>
    <t>CIXI KONGJIE  FACILITY CO.,LTD</t>
  </si>
  <si>
    <t>Might move to Taiwan.  Now China</t>
  </si>
  <si>
    <t>0.5238</t>
    <phoneticPr fontId="20" type="noConversion"/>
  </si>
  <si>
    <t>604722</t>
    <phoneticPr fontId="20" type="noConversion"/>
  </si>
  <si>
    <t>C0265</t>
    <phoneticPr fontId="20" type="noConversion"/>
  </si>
  <si>
    <t>increased pack to 6</t>
  </si>
  <si>
    <t>1.262</t>
    <phoneticPr fontId="20" type="noConversion"/>
  </si>
  <si>
    <t>373260</t>
    <phoneticPr fontId="20" type="noConversion"/>
  </si>
  <si>
    <t>C1852</t>
    <phoneticPr fontId="20" type="noConversion"/>
  </si>
  <si>
    <t>1.303</t>
    <phoneticPr fontId="20" type="noConversion"/>
  </si>
  <si>
    <t>P-138C</t>
    <phoneticPr fontId="20" type="noConversion"/>
  </si>
  <si>
    <t>EF price includes slide card package</t>
    <phoneticPr fontId="20" type="noConversion"/>
  </si>
  <si>
    <t>1.3</t>
    <phoneticPr fontId="20" type="noConversion"/>
  </si>
  <si>
    <t>6.5</t>
    <phoneticPr fontId="20" type="noConversion"/>
  </si>
  <si>
    <t>690315</t>
    <phoneticPr fontId="20" type="noConversion"/>
  </si>
  <si>
    <t>24-2070</t>
    <phoneticPr fontId="20" type="noConversion"/>
  </si>
  <si>
    <t>2.76</t>
    <phoneticPr fontId="20" type="noConversion"/>
  </si>
  <si>
    <t>650314</t>
    <phoneticPr fontId="20" type="noConversion"/>
  </si>
  <si>
    <t>C5677</t>
    <phoneticPr fontId="20" type="noConversion"/>
  </si>
  <si>
    <t>3.75</t>
    <phoneticPr fontId="20" type="noConversion"/>
  </si>
  <si>
    <t>520401</t>
    <phoneticPr fontId="20" type="noConversion"/>
  </si>
  <si>
    <t>D-099B</t>
    <phoneticPr fontId="20" type="noConversion"/>
  </si>
  <si>
    <t>690480</t>
    <phoneticPr fontId="20" type="noConversion"/>
  </si>
  <si>
    <t>RV-012B</t>
    <phoneticPr fontId="20" type="noConversion"/>
  </si>
  <si>
    <t>1.542</t>
    <phoneticPr fontId="20" type="noConversion"/>
  </si>
  <si>
    <t>305470</t>
    <phoneticPr fontId="20" type="noConversion"/>
  </si>
  <si>
    <t>C1791H</t>
    <phoneticPr fontId="20" type="noConversion"/>
  </si>
  <si>
    <t>305480</t>
    <phoneticPr fontId="20" type="noConversion"/>
  </si>
  <si>
    <t>C1791C</t>
    <phoneticPr fontId="20" type="noConversion"/>
  </si>
  <si>
    <t>1.471</t>
    <phoneticPr fontId="20" type="noConversion"/>
  </si>
  <si>
    <t>601291</t>
    <phoneticPr fontId="20" type="noConversion"/>
  </si>
  <si>
    <t>C1831</t>
    <phoneticPr fontId="20" type="noConversion"/>
  </si>
  <si>
    <t>1.427</t>
    <phoneticPr fontId="20" type="noConversion"/>
  </si>
  <si>
    <t>640301</t>
    <phoneticPr fontId="20" type="noConversion"/>
  </si>
  <si>
    <t>C1727C</t>
    <phoneticPr fontId="20" type="noConversion"/>
  </si>
  <si>
    <t>640302</t>
    <phoneticPr fontId="20" type="noConversion"/>
  </si>
  <si>
    <t>C1727H</t>
    <phoneticPr fontId="20" type="noConversion"/>
  </si>
  <si>
    <t>51080</t>
    <phoneticPr fontId="20" type="noConversion"/>
  </si>
  <si>
    <t>union ocean</t>
    <phoneticPr fontId="20" type="noConversion"/>
  </si>
  <si>
    <t>1.368</t>
    <phoneticPr fontId="20" type="noConversion"/>
  </si>
  <si>
    <t>applying patent, maybe need months, timing unsure</t>
    <phoneticPr fontId="20" type="noConversion"/>
  </si>
  <si>
    <t>690530</t>
    <phoneticPr fontId="20" type="noConversion"/>
  </si>
  <si>
    <t>P-672C</t>
    <phoneticPr fontId="20" type="noConversion"/>
  </si>
  <si>
    <t>1.06</t>
    <phoneticPr fontId="20" type="noConversion"/>
  </si>
  <si>
    <t>690525</t>
    <phoneticPr fontId="20" type="noConversion"/>
  </si>
  <si>
    <t>P-673C</t>
    <phoneticPr fontId="20" type="noConversion"/>
  </si>
  <si>
    <t>3054</t>
  </si>
  <si>
    <t>XIAMEN AF INDUSTRIES CO., LTD</t>
  </si>
  <si>
    <t>0.975</t>
    <phoneticPr fontId="20" type="noConversion"/>
  </si>
  <si>
    <t>601295</t>
    <phoneticPr fontId="20" type="noConversion"/>
  </si>
  <si>
    <t>C1830</t>
    <phoneticPr fontId="20" type="noConversion"/>
  </si>
  <si>
    <t>1.392</t>
    <phoneticPr fontId="20" type="noConversion"/>
  </si>
  <si>
    <t>Maybe moving to Taiwan. Currently China</t>
  </si>
  <si>
    <t>603830</t>
    <phoneticPr fontId="20" type="noConversion"/>
  </si>
  <si>
    <t>2104</t>
    <phoneticPr fontId="20" type="noConversion"/>
  </si>
  <si>
    <t>$1.67 is 2104 with blister card</t>
    <phoneticPr fontId="20" type="noConversion"/>
  </si>
  <si>
    <t>0.82</t>
    <phoneticPr fontId="20" type="noConversion"/>
  </si>
  <si>
    <t>640344</t>
    <phoneticPr fontId="20" type="noConversion"/>
  </si>
  <si>
    <t>C1795CH</t>
    <phoneticPr fontId="20" type="noConversion"/>
  </si>
  <si>
    <t>1.344</t>
    <phoneticPr fontId="20" type="noConversion"/>
  </si>
  <si>
    <t>1.265</t>
    <phoneticPr fontId="20" type="noConversion"/>
  </si>
  <si>
    <t>0.8</t>
    <phoneticPr fontId="20" type="noConversion"/>
  </si>
  <si>
    <t>690506</t>
    <phoneticPr fontId="20" type="noConversion"/>
  </si>
  <si>
    <t>P-1550</t>
    <phoneticPr fontId="20" type="noConversion"/>
  </si>
  <si>
    <t>$0.80 is P-1550 with blister card</t>
    <phoneticPr fontId="20" type="noConversion"/>
  </si>
  <si>
    <t>1.232</t>
    <phoneticPr fontId="20" type="noConversion"/>
  </si>
  <si>
    <t>1.341</t>
    <phoneticPr fontId="20" type="noConversion"/>
  </si>
  <si>
    <t>EF price includes slide card package.</t>
  </si>
  <si>
    <t>0.5586</t>
    <phoneticPr fontId="20" type="noConversion"/>
  </si>
  <si>
    <t>690599</t>
    <phoneticPr fontId="20" type="noConversion"/>
  </si>
  <si>
    <t>P-1357C</t>
    <phoneticPr fontId="20" type="noConversion"/>
  </si>
  <si>
    <t>0.272</t>
    <phoneticPr fontId="20" type="noConversion"/>
  </si>
  <si>
    <t>104855</t>
    <phoneticPr fontId="20" type="noConversion"/>
  </si>
  <si>
    <t>0.305</t>
    <phoneticPr fontId="20" type="noConversion"/>
  </si>
  <si>
    <t>increased pack to 12.  Need to add filler to make 5.8" x 3.8" x 7"</t>
  </si>
  <si>
    <t>50230</t>
  </si>
  <si>
    <t>GEE BRIDGE INTERNATIONAL INC.</t>
  </si>
  <si>
    <t>0.148</t>
    <phoneticPr fontId="20" type="noConversion"/>
  </si>
  <si>
    <t>131814</t>
    <phoneticPr fontId="20" type="noConversion"/>
  </si>
  <si>
    <t>13500</t>
    <phoneticPr fontId="20" type="noConversion"/>
  </si>
  <si>
    <t>0.307</t>
    <phoneticPr fontId="20" type="noConversion"/>
  </si>
  <si>
    <t>applying patent, maybe need months, timing unsure</t>
  </si>
  <si>
    <t>0.31</t>
    <phoneticPr fontId="20" type="noConversion"/>
  </si>
  <si>
    <t>50132</t>
  </si>
  <si>
    <t>CIXI MODERN ELECTRIC IND CO LT</t>
  </si>
  <si>
    <t>50570</t>
  </si>
  <si>
    <t>SUZHOU TIANLONG FASTNERS CO.</t>
  </si>
  <si>
    <t>no change - but the dimensions and weight might be an issue</t>
  </si>
  <si>
    <t>phase 2</t>
  </si>
  <si>
    <t>okay delete for the initial roll out</t>
  </si>
  <si>
    <t>690572</t>
    <phoneticPr fontId="20" type="noConversion"/>
  </si>
  <si>
    <t>V-103B</t>
    <phoneticPr fontId="20" type="noConversion"/>
  </si>
  <si>
    <t>690576</t>
    <phoneticPr fontId="20" type="noConversion"/>
  </si>
  <si>
    <t>V-102B</t>
    <phoneticPr fontId="20" type="noConversion"/>
  </si>
  <si>
    <t>0.42</t>
    <phoneticPr fontId="20" type="noConversion"/>
  </si>
  <si>
    <t>520406</t>
    <phoneticPr fontId="20" type="noConversion"/>
  </si>
  <si>
    <t>D-140B</t>
    <phoneticPr fontId="20" type="noConversion"/>
  </si>
  <si>
    <t>can we make the inner pack 4.1" x 5" x 7.7"?  Yes, add filler</t>
  </si>
  <si>
    <t>690577</t>
    <phoneticPr fontId="20" type="noConversion"/>
  </si>
  <si>
    <t>V-056IWB</t>
    <phoneticPr fontId="20" type="noConversion"/>
  </si>
  <si>
    <t>50969</t>
  </si>
  <si>
    <t>ZHONGSHAN AIRZONE VENTILATED</t>
  </si>
  <si>
    <t>1.28</t>
    <phoneticPr fontId="20" type="noConversion"/>
  </si>
  <si>
    <t>Nuoerke price includes blister card. ACME price is $1.35 with blister card.</t>
    <phoneticPr fontId="20" type="noConversion"/>
  </si>
  <si>
    <t>no, do not delete</t>
  </si>
  <si>
    <t>3.5</t>
    <phoneticPr fontId="20" type="noConversion"/>
  </si>
  <si>
    <t>520410</t>
    <phoneticPr fontId="20" type="noConversion"/>
  </si>
  <si>
    <t>D-083B</t>
    <phoneticPr fontId="20" type="noConversion"/>
  </si>
  <si>
    <t>2.75</t>
    <phoneticPr fontId="20" type="noConversion"/>
  </si>
  <si>
    <t>531102</t>
    <phoneticPr fontId="20" type="noConversion"/>
  </si>
  <si>
    <t>RV-483B</t>
    <phoneticPr fontId="20" type="noConversion"/>
  </si>
  <si>
    <t>1.24</t>
    <phoneticPr fontId="20" type="noConversion"/>
  </si>
  <si>
    <t>690550</t>
    <phoneticPr fontId="20" type="noConversion"/>
  </si>
  <si>
    <t>P-034C</t>
    <phoneticPr fontId="20" type="noConversion"/>
  </si>
  <si>
    <t>51003</t>
  </si>
  <si>
    <t>ZHEJIANG HONGCHEN IRRIGATION</t>
  </si>
  <si>
    <t>1.1</t>
    <phoneticPr fontId="20" type="noConversion"/>
  </si>
  <si>
    <t>104850</t>
    <phoneticPr fontId="20" type="noConversion"/>
  </si>
  <si>
    <t>no change - but the dimensions might be an issue</t>
  </si>
  <si>
    <t>can we make the inner pack 7" x 6" x 4.1"?</t>
  </si>
  <si>
    <t>0.684</t>
    <phoneticPr fontId="20" type="noConversion"/>
  </si>
  <si>
    <t>690590</t>
    <phoneticPr fontId="20" type="noConversion"/>
  </si>
  <si>
    <t>P-597C</t>
    <phoneticPr fontId="20" type="noConversion"/>
  </si>
  <si>
    <t>520405</t>
    <phoneticPr fontId="20" type="noConversion"/>
  </si>
  <si>
    <t>D-138B</t>
    <phoneticPr fontId="20" type="noConversion"/>
  </si>
  <si>
    <t>can we make the inner pack 4" x 5" x 7.8"?</t>
  </si>
  <si>
    <t>50071</t>
  </si>
  <si>
    <t>TONGYUAN XINSHENG LIGHTING</t>
  </si>
  <si>
    <t>531100</t>
    <phoneticPr fontId="20" type="noConversion"/>
  </si>
  <si>
    <t>RV-482B</t>
    <phoneticPr fontId="20" type="noConversion"/>
  </si>
  <si>
    <t>reduced Inner Pack - but the dimensions might be an issue</t>
  </si>
  <si>
    <t>can we make the inner pack 6" x 7" x 5"?</t>
  </si>
  <si>
    <t>690545</t>
    <phoneticPr fontId="20" type="noConversion"/>
  </si>
  <si>
    <t>P-402C</t>
    <phoneticPr fontId="20" type="noConversion"/>
  </si>
  <si>
    <t xml:space="preserve"> you have this today in another dept. can you move over to RV/Mobile Home</t>
  </si>
  <si>
    <t>0.605</t>
    <phoneticPr fontId="20" type="noConversion"/>
  </si>
  <si>
    <t>605361</t>
    <phoneticPr fontId="20" type="noConversion"/>
  </si>
  <si>
    <t>0260</t>
    <phoneticPr fontId="20" type="noConversion"/>
  </si>
  <si>
    <t>$0.605 is 0260 with blister card</t>
    <phoneticPr fontId="20" type="noConversion"/>
  </si>
  <si>
    <t>Domestic Vendor</t>
  </si>
  <si>
    <t>1.6</t>
    <phoneticPr fontId="20" type="noConversion"/>
  </si>
  <si>
    <t>692605</t>
    <phoneticPr fontId="20" type="noConversion"/>
  </si>
  <si>
    <t>Runner ningbo price is $0.9 with blister card. Need tooling cost $4450</t>
    <phoneticPr fontId="20" type="noConversion"/>
  </si>
  <si>
    <t xml:space="preserve">9900 (danco style). Other one is $8550 </t>
  </si>
  <si>
    <t>MUST KEEP!</t>
  </si>
  <si>
    <t>13.1</t>
    <phoneticPr fontId="20" type="noConversion"/>
  </si>
  <si>
    <t>690600</t>
    <phoneticPr fontId="20" type="noConversion"/>
  </si>
  <si>
    <t>P-030N</t>
    <phoneticPr fontId="20" type="noConversion"/>
  </si>
  <si>
    <t>1.541</t>
    <phoneticPr fontId="20" type="noConversion"/>
  </si>
  <si>
    <t>373290</t>
    <phoneticPr fontId="20" type="noConversion"/>
  </si>
  <si>
    <t>C1853</t>
    <phoneticPr fontId="20" type="noConversion"/>
  </si>
  <si>
    <t>G = HBC Stem Clam    U = Standard Ultra Lockset Clam    U1 = Stand. Ultra Deadbolt Clam    SH = Small 3" Header Card     MH = Medium 5" Header Card     LH = Large 6-1/4" Header Card     L = Width of RV-508B and Length of P-040C     H = Lightbulb Sized Card                                                           BOX = Existing Box Size     CLAM = Existing Clam Size     CH = Clam Header      EX = Existing Bag</t>
    <phoneticPr fontId="20" type="noConversion"/>
  </si>
  <si>
    <t>Country Of Origin</t>
  </si>
  <si>
    <t>Product Name to Appear on Packaging</t>
  </si>
  <si>
    <t>Images - Gray Scale photo</t>
  </si>
  <si>
    <t>Images - Line Art</t>
  </si>
  <si>
    <t>Images - Other</t>
  </si>
  <si>
    <t>650314</t>
  </si>
  <si>
    <t>503412</t>
  </si>
  <si>
    <t>503413</t>
  </si>
  <si>
    <t>503414</t>
  </si>
  <si>
    <t>503409</t>
  </si>
  <si>
    <t>503410</t>
  </si>
  <si>
    <t>640344</t>
  </si>
  <si>
    <t>305470</t>
  </si>
  <si>
    <t>305480</t>
  </si>
  <si>
    <t>640080</t>
  </si>
  <si>
    <t>605361</t>
  </si>
  <si>
    <t>690575</t>
  </si>
  <si>
    <t>690577</t>
  </si>
  <si>
    <t>690571</t>
  </si>
  <si>
    <t>690576</t>
  </si>
  <si>
    <t>690572</t>
  </si>
  <si>
    <t>690574</t>
  </si>
  <si>
    <t>373260</t>
  </si>
  <si>
    <t>373290</t>
  </si>
  <si>
    <t>604722</t>
  </si>
  <si>
    <t>301108</t>
  </si>
  <si>
    <t>301109</t>
  </si>
  <si>
    <t>690515</t>
  </si>
  <si>
    <t>690520</t>
  </si>
  <si>
    <t>503405</t>
  </si>
  <si>
    <t>640301</t>
  </si>
  <si>
    <t>640302</t>
  </si>
  <si>
    <t>690315</t>
  </si>
  <si>
    <t>Faucet Stem</t>
  </si>
  <si>
    <t>Spring Latch - Drive-in</t>
  </si>
  <si>
    <t xml:space="preserve">Faucet Stem </t>
  </si>
  <si>
    <t>Diverter Parts for Tub Spouts</t>
  </si>
  <si>
    <t>Acrylic Faucet Handle</t>
  </si>
  <si>
    <t>8" Kitchen Spout</t>
  </si>
  <si>
    <t>Faucet Handles</t>
  </si>
  <si>
    <t>Tub Spout</t>
  </si>
  <si>
    <t>Diverter Tub Spout</t>
  </si>
  <si>
    <t>Diverter Faucet Stem</t>
  </si>
  <si>
    <t>Marketing Attribute 7</t>
  </si>
  <si>
    <t>Faucet Repair</t>
  </si>
  <si>
    <t>Mobile Home Lock</t>
  </si>
  <si>
    <t>Entry Locks</t>
  </si>
  <si>
    <t>Rosettes</t>
  </si>
  <si>
    <t>Deadbolt Locks</t>
  </si>
  <si>
    <t>Bed and Bath Locks</t>
  </si>
  <si>
    <t>Hall and Closet Locks</t>
  </si>
  <si>
    <t>Lock Spring Latch</t>
  </si>
  <si>
    <t>Window Latches</t>
  </si>
  <si>
    <t>Fits Delta, Delex and Other Faucets</t>
  </si>
  <si>
    <t>Reference #3S-8HC</t>
  </si>
  <si>
    <t>Fits Kitchen, Lavatory and Tub/Shower Faucets</t>
  </si>
  <si>
    <t>Mobile Home Entry Door Lock</t>
  </si>
  <si>
    <t>Keyed Locking</t>
  </si>
  <si>
    <t>Stainless Steel</t>
  </si>
  <si>
    <t>Drive-in Latch</t>
  </si>
  <si>
    <t>Adjustable 2-3/4" or 2-3/8" Backset</t>
  </si>
  <si>
    <t>Weather Seal Gasket to Keep Out Rain</t>
  </si>
  <si>
    <t>KW1 Keyway, Every Lock Keyed Different</t>
  </si>
  <si>
    <t>White Rosette</t>
  </si>
  <si>
    <t>1-1/8" Diameter</t>
  </si>
  <si>
    <t>Spreads the Holding Power of a Screw Over a Large Area</t>
  </si>
  <si>
    <t>Mobile Home Deadbolt Door Lock</t>
  </si>
  <si>
    <t>Keyed Locking From Outside</t>
  </si>
  <si>
    <t>Mobile Home Privacy Door Lock</t>
  </si>
  <si>
    <t>Used for Bedrooms and Bathrooms</t>
  </si>
  <si>
    <t>Polished Brass Finish</t>
  </si>
  <si>
    <t>2-3/8" Backset</t>
  </si>
  <si>
    <t>Mobile Home Passage Door Lock</t>
  </si>
  <si>
    <t>Uses for Halls and Closets</t>
  </si>
  <si>
    <t>Chrome Plated</t>
  </si>
  <si>
    <t>Non-Metallic</t>
  </si>
  <si>
    <t>Fits Most Garden Tub Faucets</t>
  </si>
  <si>
    <t xml:space="preserve">With Washer </t>
  </si>
  <si>
    <t>Fits Most 4" Exposed Shower Diverter Faucets</t>
  </si>
  <si>
    <t/>
  </si>
  <si>
    <t>Mobile Home Spring Latch</t>
  </si>
  <si>
    <t>For Door Locks</t>
  </si>
  <si>
    <t xml:space="preserve">Window Tilt Latch </t>
  </si>
  <si>
    <t>Includes 2 Left and 2 Right Latches</t>
  </si>
  <si>
    <t>Chrome Finish</t>
  </si>
  <si>
    <t>Fits American Brass, Empire, Tiger, and Other Faucets</t>
  </si>
  <si>
    <t>Hot or Cold Side</t>
  </si>
  <si>
    <t>Reference #2J-1HC</t>
  </si>
  <si>
    <t>Fits Kitchen, Lavatory and Bath Faucets</t>
  </si>
  <si>
    <t>Fits Standard “J” Broach Handles</t>
  </si>
  <si>
    <t>Lift Arm, Cup Washer and Cup Holder</t>
  </si>
  <si>
    <t>Pair</t>
  </si>
  <si>
    <t>"J" Broach</t>
  </si>
  <si>
    <t>Clear</t>
  </si>
  <si>
    <t>Fits American Brass and Other Faucets</t>
  </si>
  <si>
    <t>Reference #2J-2HC</t>
  </si>
  <si>
    <t>Fits Streamway, Empire, Tiger and Other Faucets</t>
  </si>
  <si>
    <t>Reference #2J-5HC</t>
  </si>
  <si>
    <t>Fits Phoenix, Moen, and Other Faucets</t>
  </si>
  <si>
    <t>Reference #2J-8HC</t>
  </si>
  <si>
    <t>"S" Broach</t>
  </si>
  <si>
    <t>Plastic</t>
  </si>
  <si>
    <t>Fits Most Non-Metallic Swing-Spout Style Kitchen Faucets</t>
  </si>
  <si>
    <t>Fits Streamway Moen and Other Faucets</t>
  </si>
  <si>
    <t>Reference #3J-1HC</t>
  </si>
  <si>
    <t>Fits Kitchen and Lavatory Faucets</t>
  </si>
  <si>
    <t>Fits Bristol, BPC, and Other Faucets</t>
  </si>
  <si>
    <t>Reference #3J-7HC</t>
  </si>
  <si>
    <t>Fits Streamway, Moen and Other Faucets</t>
  </si>
  <si>
    <t>Hot Side</t>
  </si>
  <si>
    <t>Reference #2J-6H</t>
  </si>
  <si>
    <t>Cold Side</t>
  </si>
  <si>
    <t>Reference #2J-6C</t>
  </si>
  <si>
    <t>Fits Streamway Kitchen, Lavatory and Tub/Shower Faucets</t>
  </si>
  <si>
    <t>Zinc Die Cast Construction</t>
  </si>
  <si>
    <t>1/2" Female Threads At The Nose</t>
  </si>
  <si>
    <t>Fits Phoenix and Other Faucets</t>
  </si>
  <si>
    <t>Reference #3J-9HC</t>
  </si>
  <si>
    <t>Fits Streamway, American Brass and Other Faucets</t>
  </si>
  <si>
    <t>Reference #2J-3C</t>
  </si>
  <si>
    <t>Reference #2J-3H</t>
  </si>
  <si>
    <t>Diverter (Center)</t>
  </si>
  <si>
    <t>Reference #7J-9D</t>
  </si>
  <si>
    <t>Fits Center of 3-Valve Tub/Shower Faucet</t>
  </si>
  <si>
    <t>Floating, Self-Aligning Magnetic Assembly</t>
  </si>
  <si>
    <t>Screws Included</t>
  </si>
  <si>
    <t>Clear Rosette</t>
  </si>
  <si>
    <t>RV &amp; Mobile Home</t>
  </si>
  <si>
    <t>Recreational Vehicle</t>
  </si>
  <si>
    <t>Complete with Seat and Spring</t>
  </si>
  <si>
    <t>Fits Most Handles with a “Half-Moon” Style Broach</t>
  </si>
  <si>
    <t>Use with Installation of Ceiling Tile and Mirrors</t>
  </si>
  <si>
    <t>6 Pieces with Screws</t>
  </si>
  <si>
    <t>O-Ring Seal with Set-Screw</t>
  </si>
  <si>
    <t>Used with Privacy and Passage Locks</t>
  </si>
  <si>
    <t>Locking Screw Cam Resists Accidental Opening of Window</t>
  </si>
  <si>
    <t>Parts Fit Most Tub Spout Diveters</t>
  </si>
  <si>
    <t>Diverter at the Nose</t>
  </si>
  <si>
    <t>1/2" Female Threads at the Nose</t>
  </si>
  <si>
    <t>Plastic Casing with Adjustable Screw Slots</t>
  </si>
  <si>
    <t>Item Description (from Amy)</t>
  </si>
  <si>
    <t xml:space="preserve">Attractive floral design that spreads the holding power of a screw over a large area
Used for the installation of ceiling tile and mirrors
1-1/8" Diameter white rosettes
6 Pieces with screws
</t>
  </si>
  <si>
    <t>Easy to install replacement window tilt latch assembly
Includes 2 left and 2 right latches
Locking screw cam resists accidental opening of window</t>
  </si>
  <si>
    <t>Easy to install replacement magnetic catch for wood cabinets
Magnet enclosed in sturdy plastic casing with adjustable screw slots
Floating, self-aligning magnetic assembly for easy installation
Includes strike and screws</t>
  </si>
  <si>
    <t>Replacement mobile home entry door lock with drive-in latch
Weather seal gasket to keep out rain
Adjustable 2-3/4" or 2-3/8" backset, fits most pre-existing door holes
Fits doors from 1-3/8" to 1-3/4" thick
Universal handing, fits both left and right handed doors
KW1 keyway, every lock keyed different, includes 2 keys
Stainless Steel finish</t>
  </si>
  <si>
    <t>Replacement mobile home deadbolt with drive-in latch
Weather seal gasket to keep out rain
Adjustable 2-3/4" or 2-3/8" backset, fits most pre-existing door holes
Fits doors from 1-3/8" to 1-3/4" thick
Universal handing, fits both left and right handed doors
KW1 keyway, every lock keyed different, includes 2 keys
Stainless Steel finish</t>
  </si>
  <si>
    <t>Replacement mobile home privacy door with drive-in latch
Used for bedrooms and bathrooms
2-3/8" backset, fits most pre-existing door holes
Fits doors from 1-3/8" to 1-3/4" thick
Universal handing, fits both left and right handed doors
Polished Brass finish</t>
  </si>
  <si>
    <t>Replacement mobile home passage door with drive-in latch
Used forhalls and closests
2-3/4" or 2-3/8" backset, fits most pre-existing door holes
Fits doors from 1-3/8" to 1-3/4" thick
Universal handing, fits both left and right handed doors
Polished Brass finish</t>
  </si>
  <si>
    <t>Easy to install replacement drive-in spring latch for privacy and passage locks
For cresent (or half moon) spindle locks
For 2-3/8" backset lock position
Constructed of zinc and steal for long life</t>
  </si>
  <si>
    <t>For use in RV, mobile home and other applications
Fits Streamway, Moen and ther faucets with a standard “J" broach handle
For use in kitchen and lavatory faucets 
Repairs hot valve only; for cold valve, use RVP102
Reference #2J-6H</t>
  </si>
  <si>
    <t>Product Description</t>
  </si>
  <si>
    <t>Product Bullets</t>
  </si>
  <si>
    <t>For use in RV, mobile home and other applications
Fits Phoenix and other faucets with a standard “J” broach handle
Durable plastic replacement diverter stem fits center of 3-valve tub/shower faucet
Reference #7J-9D</t>
  </si>
  <si>
    <t>For use in RV, mobile home and other applications
Fits Delta, Delex and other faucets with a “Half-Moon” Style Broach
Includes stem, seat and spring 
For use in kitchen, lavatory and tub/shower faucets 
Repairs hot or cold valve 
Durable plastic construction
Reference #3S-8HC</t>
  </si>
  <si>
    <t>For use in RV, mobile home and other applications
Fits American Brass, Empire, Tiger and other faucets with a standard “J" broach handle
For use in kitchen, lavatory and bath faucets 
Repairs hot or cold valve 
Durable brass construction
Reference #2J-1HC</t>
  </si>
  <si>
    <t>For use in RV and other applications
Fits American Brass and other faucets with a standard “J" broach handle
For use in kitchen, lavatory and bath faucets 
Repairs hot or cold valve 
Durable brass construction
Reference #2J-2HC</t>
  </si>
  <si>
    <t>For use in RV and other applications
Fits Streamway, Empire, Tiger and other faucets with a standard “J" broach handle
For use in kitchen, lavatory and bath faucets 
Repairs hot or cold valve 
Durable brass construction
Reference #2J-5HC</t>
  </si>
  <si>
    <t>For use in RV and other applications
Fits Phoenix, Moen and other faucets with a standard “J" broach handle
For use in kitchen, lavatory and bath faucets 
Repairs hot or cold valve 
Durable brass construction
Reference #2J-8HC</t>
  </si>
  <si>
    <t>For use in RV, mobile home and other applications
Fits Streamway Moen and other faucets with a standard “J" broach handle
For use in kitchen and lavatory faucets 
Repairs hot or cold valve 
Durable plastic construction
Reference #3J-1HC</t>
  </si>
  <si>
    <t>For use in RV, mobile home and other applications
Fits Bristol, BPC, and other faucets with a standard “J" broach handle
For use in kitchen and lavatory faucets 
Repairs hot or cold valve 
Durable plastic construction
Reference #3J-7HC</t>
  </si>
  <si>
    <t>For use in RV and other applications
Fits Phoenix and other faucets with a standard “J" broach handle
For use in kitchen and lavatory faucets 
Repairs hot or cold valve 
Durable plastic construction
Reference #3J-9HC</t>
  </si>
  <si>
    <t>For use in RV and other applications
Fits Streamway, American Brass and other faucets with a standard “J" broach handle
For use in kitchen and lavatory faucets 
Repairs cold valve only; for hot valve, use RVP156
Durable brass construction
Reference #2J-3C</t>
  </si>
  <si>
    <t>For use in RV and other applications
Fits Streamway, American Brass and other faucets with a standard “J" broach handle
For use in kitchen and lavatory faucets 
Repairs hot valve only; for cold valve, use RVP155
Durable brass construction
Reference #2J-3H</t>
  </si>
  <si>
    <t>For use in RV and other applications
Durable non-metallic construction for strength and dependability
Attractive chrome finish updates the look of your bathroom
Fits most garden tub faucets
Includes washer</t>
  </si>
  <si>
    <t>For use in RV and other applications
Fits most 4" exposed shower diverter faucets
Durable non-metallic construction for strength and dependability
Attractive chrome finish updates the look of your bathroom
Inlcudes o-ring seal with set-screw</t>
  </si>
  <si>
    <t>For use in RV, mobile home and other applications
Zinc metallic construction for strength and dependability
Attractive chrome finish updates the look of your bathroom
Fits 1/2" female threaded stub-out
Includes shower diverter
For applications where diverter is not required, use RVP113</t>
  </si>
  <si>
    <t>For use in RV, mobile home and other applications
Zinc metallic construction for strength and dependability
Attractive chrome finish updates the look of your bathroom
Fits 1/2" female threaded stub-out
For applications where diverter is required, use RVP114</t>
  </si>
  <si>
    <t>For use in RV, mobile home and other applications
Fits Streamway, Moen and other faucets with a standard “J" broach handle
For use in kitchen and lavatory faucets 
Repairs cold valve only; for hot valve, use RVP101
Reference #2J-6C</t>
  </si>
  <si>
    <t>For use in RV, mobile home and other applications
Fits Streamway kitchen, lavatory and tub/shower faucets with a standard “J" broach handle
Zinc metallic construction for strength and dependability
Attractive chrome finish updates the look of your bathroom
Inludes both hot and cold handles with mounting screws</t>
  </si>
  <si>
    <t>For use in RV, mobile home and other applications
Fits faucets with a standard “J" broach handle
Attractive clear acrylic construction updates the look of your bathroom
Inludes both hot and cold handles with mounting screws and screw covers</t>
  </si>
  <si>
    <t>For use in RV, mobile home and other applications
Fits faucets with a standard “S" broach handle
Attractive clear acrylic construction updates the look of your bathroom
Inludes both hot and cold handles with mounting screws and screw covers</t>
  </si>
  <si>
    <t>For use in RV, mobile home and other applications
Repair kit for leaking tub spout shower diverter
Includes lift arm, cup washer and cup holder
Fit most RV and mobile home divert tub spouts</t>
  </si>
  <si>
    <t xml:space="preserve">For use in RV, mobile home and other applications
Fits most non-metallic swing-spout style kitchen faucets
Durable plastic construction for strength and dependability
Attractive chrome finish updates the look of your kitchen
</t>
  </si>
  <si>
    <t>RV &amp; Mobile Home, plumbing, faucet repair, faucet stem, Delta, Delex, hot or cold, kitchen faucet, lavatory faucet, tub/shower faucet, half-moon, broach</t>
  </si>
  <si>
    <t>RV &amp; Mobile Home, RV, mobile home lock, entry lock, door lock, drive-in latch, weather seal gasket, KW1, keyed different</t>
  </si>
  <si>
    <t>RV &amp; Mobile Home, RV, mobile home lock, deadbolt, door lock, drive-in latch, weather seal gasket, KW1, keyed different</t>
  </si>
  <si>
    <t>RV &amp; Mobile Home, RV, mobile home door, privacy, door lock, bedroom, bathroom, drive-in latch, polished brass</t>
  </si>
  <si>
    <t>RV &amp; Mobile Home, RV, mobile home door, passage, door lock, hall closet drive-in latch, polished brass</t>
  </si>
  <si>
    <t>RV &amp; Mobile Home, RV, mobile home lock, spring latch, drive-in, door lock, privacy, passage, bedroom, bathroom, hall, closet</t>
  </si>
  <si>
    <t>RV &amp; Mobile Home, RV, mobile home, rosettes, hardware, installation</t>
  </si>
  <si>
    <t>RV &amp; Mobile Home, RV, mobile home, hardware, window latches, window tilt latch</t>
  </si>
  <si>
    <t>Cabinet Catches</t>
  </si>
  <si>
    <t>Recreational Vehicle, RV, hardware cabinet catch, magnetic</t>
  </si>
  <si>
    <t>Tags/Keywords</t>
  </si>
  <si>
    <t>Product Name</t>
  </si>
  <si>
    <t xml:space="preserve">Dual Shut-off Hose "Y"                     </t>
  </si>
  <si>
    <t xml:space="preserve">Plumbing </t>
  </si>
  <si>
    <t>Outdoor</t>
  </si>
  <si>
    <t>Fits Standard Garden Hose Threads</t>
  </si>
  <si>
    <t>Makes One Hose Outlet Into Two</t>
  </si>
  <si>
    <t>Allows Two Hoses to Operate Independently</t>
  </si>
  <si>
    <t>For Outdoor Use Only</t>
  </si>
  <si>
    <t>Rust Resistant Material</t>
  </si>
  <si>
    <t>RV &amp; Mobile Home, plumbing, fresh water, metal hose Y, dual shut-off, outdoor, garden hose</t>
  </si>
  <si>
    <t>Vanity Sink Drain Assembly</t>
  </si>
  <si>
    <t>Sink Repair</t>
  </si>
  <si>
    <t>White</t>
  </si>
  <si>
    <t>1-1/4" X 5"</t>
  </si>
  <si>
    <t>With Locknut and Washer</t>
  </si>
  <si>
    <t>No Overflow</t>
  </si>
  <si>
    <t>Replacement Stopper RVP004</t>
  </si>
  <si>
    <t>Non-Metallic construction does not corrode</t>
  </si>
  <si>
    <t>RV &amp; Mobile Home, plumbing, sink repair, push/pull, drain assembly, vanity sink, no overflow</t>
  </si>
  <si>
    <t>Drain Stopper</t>
  </si>
  <si>
    <t xml:space="preserve">Push/Pull  </t>
  </si>
  <si>
    <t>Fits Most Push/Pull Style Lavatory Drains</t>
  </si>
  <si>
    <t>RV &amp; Mobile Home, plumbing, push/pull, drain stopper, sink repair, lavatory, drain, bathroom, restroom</t>
  </si>
  <si>
    <t xml:space="preserve">RV Electrical Adapter </t>
  </si>
  <si>
    <t>Compact Adapter</t>
  </si>
  <si>
    <t>30 Amp RV Cord to Standard 15 Amp Rate Outlet</t>
  </si>
  <si>
    <t>Contoured Design for Easy Removal</t>
  </si>
  <si>
    <t>Rated 15 Amp</t>
  </si>
  <si>
    <t>Recreational Vehicle, RV, electrical, connector, adapter, 30 Amg, outdoor, compact adapter, easy removal, 30 Amp to 15 Amp</t>
  </si>
  <si>
    <t>Tub Strainer Swivel Adapter</t>
  </si>
  <si>
    <t>Tub Repair</t>
  </si>
  <si>
    <t>Fits 1-1/2" Coarse Thread Tub Drain Inserts</t>
  </si>
  <si>
    <t>ABS Construction</t>
  </si>
  <si>
    <t>Sch 40 Size and Weight</t>
  </si>
  <si>
    <t>With 1-1/2" Female Swivel Nut</t>
  </si>
  <si>
    <t>With Washer</t>
  </si>
  <si>
    <t>Recreational Vehicle, plumbing, tub repair, tub strainer, swivel, adapter, ABS construction, coarse thread, tub drain</t>
  </si>
  <si>
    <t xml:space="preserve">7-Way Trailer Connector                   </t>
  </si>
  <si>
    <t>Trailer End Only</t>
  </si>
  <si>
    <t>Wiring Guide Provided on Package</t>
  </si>
  <si>
    <t>Corrosion and Impact Resistant ABS Construction</t>
  </si>
  <si>
    <t>Black</t>
  </si>
  <si>
    <t>Recreational Vehicle, RV, electrical, outdoor, trailer, 7-way trailer, connector, trailer end, ABS construction</t>
  </si>
  <si>
    <t>7-Way Car Connector                </t>
  </si>
  <si>
    <t>Car End Only</t>
  </si>
  <si>
    <t>Recreational Vehicle, RV, electrical, outdoor, car, 7-way car, connector, car end, ABS construction</t>
  </si>
  <si>
    <t>Roof Vent Cap</t>
  </si>
  <si>
    <t>Tub/Shower Repair</t>
  </si>
  <si>
    <t>White Plastic</t>
  </si>
  <si>
    <t>Fits Most Vent Stacks</t>
  </si>
  <si>
    <t>Baggage Door Lock, Cam Style 5/8"</t>
  </si>
  <si>
    <t>Baggage Door Locks</t>
  </si>
  <si>
    <t>Baggage Door Lock</t>
  </si>
  <si>
    <t>Cam Style 5/8"</t>
  </si>
  <si>
    <t>Nickel Plated</t>
  </si>
  <si>
    <t>Includes Bent and Straight Cam Levers to Fit Most Applications</t>
  </si>
  <si>
    <t>RV &amp; Mobile Home, RV, mobile home lock, baggage door lock, cam style, nickel plated, bent cam levels, straight cam levels</t>
  </si>
  <si>
    <t>Hitch Pin 5/8"</t>
  </si>
  <si>
    <t>Trailer Hitch Parts</t>
  </si>
  <si>
    <t>Hitch Pin</t>
  </si>
  <si>
    <t>Includes Spring Cotter Pin</t>
  </si>
  <si>
    <t>Zinc Plated</t>
  </si>
  <si>
    <t>For Class 3 and 4 Hitches</t>
  </si>
  <si>
    <t>Recreational Vehicle, RV, trailer hitch, parts, hitch pin, class 3, class 4</t>
  </si>
  <si>
    <t>Coupler Locks</t>
  </si>
  <si>
    <t>Coupler Lock Pin</t>
  </si>
  <si>
    <t>5/16" Diameter</t>
  </si>
  <si>
    <t>Ideal for Securing Most Trailer Couplers</t>
  </si>
  <si>
    <t>2-1/2" Usable Length</t>
  </si>
  <si>
    <t>Recreational Vehicle, RV, trailer hitch, parts, coupler lock, coupler lock pin, trailer</t>
  </si>
  <si>
    <t>1/4" Diameter</t>
  </si>
  <si>
    <t>1-3/8" Usable Length</t>
  </si>
  <si>
    <t>RV Blow Out Plug</t>
  </si>
  <si>
    <t>Water Supply</t>
  </si>
  <si>
    <t>For Winterizing Recreational Vehicles</t>
  </si>
  <si>
    <t>Standard Male Hose Thread</t>
  </si>
  <si>
    <t>Schrader Style Air Valve with Cap</t>
  </si>
  <si>
    <t>Use with standard tire air chuck</t>
  </si>
  <si>
    <t xml:space="preserve">4-Way Flat Connector </t>
  </si>
  <si>
    <t>Both Trailer and Car Ends</t>
  </si>
  <si>
    <t>Molded Connectors</t>
  </si>
  <si>
    <t>Non-Stripping Splice Connectors are Recommended</t>
  </si>
  <si>
    <t>Wiring Diagram Provided on Back of Package</t>
  </si>
  <si>
    <t xml:space="preserve">With 12" Wires </t>
  </si>
  <si>
    <t>Recreational Vehicle, RV, electrical, outdoor, trailer, 4-way, flat connector, trailer end, car end</t>
  </si>
  <si>
    <t xml:space="preserve">Toe-Touch Drain Assembly </t>
  </si>
  <si>
    <t>Zinc Die Cast Construction with Plastic Pop-Up Assembly</t>
  </si>
  <si>
    <t>1-1/2" Threads</t>
  </si>
  <si>
    <t>Complete with Locknut and Washer</t>
  </si>
  <si>
    <t xml:space="preserve">Grid Strainer Bath Drain </t>
  </si>
  <si>
    <t>Zinc Die Cast Construction with Stainless Steel Grid</t>
  </si>
  <si>
    <t>4-1/2" Flat Sink/Shower Strainer</t>
  </si>
  <si>
    <t>Flat Sink/Shower Strainer</t>
  </si>
  <si>
    <t>Fits 3-1/2" - 4" Drain Openings</t>
  </si>
  <si>
    <t>Complete with all Locknuts, Slip Nuts and Washers</t>
  </si>
  <si>
    <t>Pop-Up Drain Assembly</t>
  </si>
  <si>
    <t>Without Overflow</t>
  </si>
  <si>
    <t>Complete With all Necessary Linkages</t>
  </si>
  <si>
    <t>polished chrome finish</t>
  </si>
  <si>
    <t>4" Shower Faucet</t>
  </si>
  <si>
    <t>Faucets</t>
  </si>
  <si>
    <t>Concealed Supply to Shower Head</t>
  </si>
  <si>
    <t>Modern Acrylic Handles</t>
  </si>
  <si>
    <t>Exposed Output Thread</t>
  </si>
  <si>
    <t>8" Shower Faucet</t>
  </si>
  <si>
    <t>Straight Shaft Pattern</t>
  </si>
  <si>
    <t>Includes CP Shower Head Shower Arm and Flange</t>
  </si>
  <si>
    <t>Pull-Up Diverter at the Nose</t>
  </si>
  <si>
    <t>Chrome plated zinc construction</t>
  </si>
  <si>
    <t>Shower supply connection is in-line with the water connections</t>
  </si>
  <si>
    <t>For offset shower supply connection applications use RVP066</t>
  </si>
  <si>
    <t>Offset Shaft Pattern</t>
  </si>
  <si>
    <t>Shower supply connection is offset below the water connections</t>
  </si>
  <si>
    <t>For in-line shower supply connection applications use RVP063</t>
  </si>
  <si>
    <t>Replacement Stopper RVP128</t>
  </si>
  <si>
    <t>Shower Arm with Escutcheon</t>
  </si>
  <si>
    <t>Shower Heads and Accessories</t>
  </si>
  <si>
    <t>1/2" Threads to Fit All Shower Arms and Hook-Ups</t>
  </si>
  <si>
    <t>Threaded Flange to Hold Tight Against the Shower Wall</t>
  </si>
  <si>
    <t>RV Waste Cap</t>
  </si>
  <si>
    <t>RV Waste Accessories</t>
  </si>
  <si>
    <t xml:space="preserve">3" </t>
  </si>
  <si>
    <t>Includes 3/4" Garden Hose Connection For Flushing System</t>
  </si>
  <si>
    <t>Ears and Gasket For Tight, Positive Seal</t>
  </si>
  <si>
    <t>Use to cover the RV's waste connection while underway</t>
  </si>
  <si>
    <t>Tub and Shower Valve Flange</t>
  </si>
  <si>
    <t>Fits Most 2 and 3 Handle Shower Valves</t>
  </si>
  <si>
    <t>Kitchen Basket Strainer</t>
  </si>
  <si>
    <t>Stainless Steel Construction</t>
  </si>
  <si>
    <t>Rolled Edges</t>
  </si>
  <si>
    <t>Stick-Post Style</t>
  </si>
  <si>
    <t>Rubber Bottom Gasket For Water-Tight Seal</t>
  </si>
  <si>
    <t>Lavatory Trap</t>
  </si>
  <si>
    <t>1-1/4" Slip-Joint Inlet</t>
  </si>
  <si>
    <t>1-1/2" Socket Outlet</t>
  </si>
  <si>
    <t>ABS</t>
  </si>
  <si>
    <t>Union for Ease f Installation and Adjustability</t>
  </si>
  <si>
    <t>Bathtub Trap</t>
  </si>
  <si>
    <t>1-1/2" Socket Inlet</t>
  </si>
  <si>
    <t>Bathtub Pull-Up Drain</t>
  </si>
  <si>
    <t>1-1/2"</t>
  </si>
  <si>
    <t>Complete with All Locknuts and Washers</t>
  </si>
  <si>
    <t>White Finish</t>
  </si>
  <si>
    <t>Garden Tub Faucet</t>
  </si>
  <si>
    <t>Widespread</t>
  </si>
  <si>
    <t>Brass Body</t>
  </si>
  <si>
    <t>Clear Acrylic Handles</t>
  </si>
  <si>
    <t>Uses Commonly Available Replacement Parts</t>
  </si>
  <si>
    <t xml:space="preserve">3-Handle Shower Faucet </t>
  </si>
  <si>
    <t>Includes Spout</t>
  </si>
  <si>
    <t>1/4-Turn Washerless Stems</t>
  </si>
  <si>
    <t>2-Handle Shower Faucet</t>
  </si>
  <si>
    <t>Includes Diverter Spout</t>
  </si>
  <si>
    <t xml:space="preserve">RV Water Pressure Regulator </t>
  </si>
  <si>
    <t>RV Water Supply</t>
  </si>
  <si>
    <t>Female Garden Hose Thread Inlet</t>
  </si>
  <si>
    <t>Male Garden Hose Thread Outlet</t>
  </si>
  <si>
    <t>Reduces Pressure to a Consistant 40-50 PSI</t>
  </si>
  <si>
    <t>With Filter Style Hose Washer</t>
  </si>
  <si>
    <t>Drinking water safe</t>
  </si>
  <si>
    <t>18" RV Adapter
30 Amp Male to 50 Amp Female                    </t>
  </si>
  <si>
    <t>30 Amp Male to 50 Amp Female</t>
  </si>
  <si>
    <t>Type 10/3 STW 30 Amp 125V</t>
  </si>
  <si>
    <t>-20F Cold Weather Jacket</t>
  </si>
  <si>
    <t>With Pull-Out Handles</t>
  </si>
  <si>
    <t>Recreational Vehicle, RV, electrical, outdoor, connector, 18", adapter, 30 Amp to 50 Amp, wather jacket, pull-out handles</t>
  </si>
  <si>
    <t>18" RV Adapter
50 Amp Male to 30 Amp Female                    </t>
  </si>
  <si>
    <t>50 Amp Male to 30 Amp Female</t>
  </si>
  <si>
    <t>Recreational Vehicle, RV, electrical, outdoor, connector, 18", adapter, 50 Amp to 30 Amp, wather jacket, pull-out handles</t>
  </si>
  <si>
    <t xml:space="preserve">25' 30 Amp Hook-Up Cord </t>
  </si>
  <si>
    <t>Male x Female 30 Amp cord</t>
  </si>
  <si>
    <t>Recreational Vehicle, RV, electrical, outdoor, connector, 25 ft, adapter, 30 Amp, hook-up cord, weather jacket, pull-out handles</t>
  </si>
  <si>
    <t>12" RV Adapter
15 Amp male to 30 Amp Female</t>
  </si>
  <si>
    <t>15 Amp Male to 30 Amp Female</t>
  </si>
  <si>
    <t>Type 12/3 SJTW 30 Amp 125V</t>
  </si>
  <si>
    <t>Recreational Vehicle, RV, electrical, outdoor, connector, 12", RV adapter, 15 Amp to 30 Amp, weather jacket, pull-out handles</t>
  </si>
  <si>
    <t>12" RV Adapter
30 Amp male to 15 Amp Female</t>
  </si>
  <si>
    <t>30 Amp Male to 15 Amp Female</t>
  </si>
  <si>
    <t>Recreational Vehicle, RV, electrical, outdoor, connector, 12", RV adapter, 30 Amp to 15 Amp, weather jacket, pull-out handles</t>
  </si>
  <si>
    <t>Shower Head</t>
  </si>
  <si>
    <t>1/2" Standard Female Thread</t>
  </si>
  <si>
    <t>California Complaint Flow Rate</t>
  </si>
  <si>
    <t>Kitchen Faucet</t>
  </si>
  <si>
    <t>8" Swivel Spout With Aerator</t>
  </si>
  <si>
    <t>1/2" Shanks</t>
  </si>
  <si>
    <t>Bathroom Faucet</t>
  </si>
  <si>
    <t>High Spout For Excellent Sink Clearence</t>
  </si>
  <si>
    <t>Push/Pull</t>
  </si>
  <si>
    <t>Bone Finish</t>
  </si>
  <si>
    <t>Replacement stopper #RVP130</t>
  </si>
  <si>
    <t>3"</t>
  </si>
  <si>
    <t>Ears and Gasket for Tight, Positive Seal</t>
  </si>
  <si>
    <t>Hose Adapter</t>
  </si>
  <si>
    <t>For RV Waste Hose Connections</t>
  </si>
  <si>
    <t>Straight</t>
  </si>
  <si>
    <t>Barbed to Slide into Hose</t>
  </si>
  <si>
    <t>Use with hose RVP148 and clamps RVP159</t>
  </si>
  <si>
    <t>Threaded</t>
  </si>
  <si>
    <t>Hose Coupler</t>
  </si>
  <si>
    <t>45 Degree Angled</t>
  </si>
  <si>
    <t xml:space="preserve">RV Waste Hose  </t>
  </si>
  <si>
    <t>For RV Waste Connections</t>
  </si>
  <si>
    <t>3" Diameter</t>
  </si>
  <si>
    <t>Expands to 20 Feet Long</t>
  </si>
  <si>
    <t>Compresses To 18-1/2" For Easy and Convenient Storage</t>
  </si>
  <si>
    <t>Vinyl with Wire Helix</t>
  </si>
  <si>
    <t>Blue</t>
  </si>
  <si>
    <t>Use with clamps RVP159</t>
  </si>
  <si>
    <t>Sink Strainer Assembly</t>
  </si>
  <si>
    <t>Fits 2" to 2-1/2" Diameter Drains</t>
  </si>
  <si>
    <t>1-1/2" Thread</t>
  </si>
  <si>
    <t>With Locknut and Washers</t>
  </si>
  <si>
    <t>With Crumb Cup Strainer</t>
  </si>
  <si>
    <t>RV Reverse Adapter                     
30 Amp Male to 15 Amp Female</t>
  </si>
  <si>
    <t>Converts All Standard 15 Amp Cords to the RV 30 Amp Outlet</t>
  </si>
  <si>
    <t>15 Amp Rated</t>
  </si>
  <si>
    <t>Recreational Vehicle, RV, electrical, outdoor, connector, reverse adapter, 30 Amp to 14 Amp</t>
  </si>
  <si>
    <t>Lavatory Sink Strainer Basket</t>
  </si>
  <si>
    <t>With Post for Easy Removal</t>
  </si>
  <si>
    <t>Rubber Gasket For Positive Water-Tight Seal</t>
  </si>
  <si>
    <t>Closet Flange</t>
  </si>
  <si>
    <t>Toilet Repair</t>
  </si>
  <si>
    <t>To Attach Toilet to the Floor</t>
  </si>
  <si>
    <t>Male Threaded to Screw into Female Pipe</t>
  </si>
  <si>
    <t xml:space="preserve">3" male NPT threaded connection </t>
  </si>
  <si>
    <t>Standard toilet flange</t>
  </si>
  <si>
    <t>Female Threaded to Screw into Male Pipe</t>
  </si>
  <si>
    <t>3" female NPT threaded connection</t>
  </si>
  <si>
    <t>One Way Plastic Hose Shut-off    </t>
  </si>
  <si>
    <t>Includes Washer</t>
  </si>
  <si>
    <t>Made of Durable ABS Plastic</t>
  </si>
  <si>
    <t>RV &amp; Mobile Home, Fresh Water</t>
  </si>
  <si>
    <t>RV Waste Hose Clamps</t>
  </si>
  <si>
    <t>For 3" RV Waste Hose</t>
  </si>
  <si>
    <t>2-1/2" - 3-1/2" Diameter</t>
  </si>
  <si>
    <t>2 Pack</t>
  </si>
  <si>
    <t>With Wing Style Nut for Easy, No-Tolls Installation</t>
  </si>
  <si>
    <t>Stainless Steel for Excellent Corrosion Resistance</t>
  </si>
  <si>
    <t>For use on all 3" RV waste hose connections and other 3" clamping applications</t>
  </si>
  <si>
    <t>RV Drinking Water Hose</t>
  </si>
  <si>
    <t>4 Ply</t>
  </si>
  <si>
    <t>1/2" Diameter</t>
  </si>
  <si>
    <t>Nickel Male End and Plastic Female End</t>
  </si>
  <si>
    <t>Drinking Water Safe</t>
  </si>
  <si>
    <t>Great for Boats</t>
  </si>
  <si>
    <t>Recreational Vehicle, Fresh Water</t>
  </si>
  <si>
    <t>RV Entry Lock - Chrome Plated</t>
  </si>
  <si>
    <t>RV Entry Lock</t>
  </si>
  <si>
    <t>Entry and Deadbolt Functions</t>
  </si>
  <si>
    <t>Direct Replacment for Factory Locks</t>
  </si>
  <si>
    <t>Recreational Vehicle, RV, entry locks, entry, deadbolt, chrome, replacement</t>
  </si>
  <si>
    <t>Hose Washers</t>
  </si>
  <si>
    <t>Fits Standard Garden Hoses, Washing Machine Inlet Hoses and Household Applications</t>
  </si>
  <si>
    <t>Use for All RV Water Hook-Ups to Protect Water System From Sediment</t>
  </si>
  <si>
    <t>Used to Filter Particles from Water Source</t>
  </si>
  <si>
    <t>Quality Rubber Material with Corrosion Resistant Mesh</t>
  </si>
  <si>
    <t>Rubber Washers</t>
  </si>
  <si>
    <t>3 Pack</t>
  </si>
  <si>
    <t>90 Degree Elbow</t>
  </si>
  <si>
    <t>Great for Behind the Washer or Home Faucets</t>
  </si>
  <si>
    <t>Works on Standard Garden Hose Threads</t>
  </si>
  <si>
    <t>Swivel End Prevents Hose Crimping and Strain</t>
  </si>
  <si>
    <t>Made of Brass for Durable Trouble Free Use</t>
  </si>
  <si>
    <t xml:space="preserve">Plastic Hose "Y" with Shut-off </t>
  </si>
  <si>
    <t>Makes One Hose Outlet into Two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</si>
</sst>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0.0%"/>
    <numFmt numFmtId="166" formatCode="0.000"/>
    <numFmt numFmtId="167" formatCode="_(* #,##0_);_(* \(#,##0\);_(* &quot;-&quot;??_);_(@_)"/>
    <numFmt numFmtId="168" formatCode="_(&quot;$&quot;* #,##0_);_(&quot;$&quot;* \(#,##0\);_(&quot;$&quot;* &quot;-&quot;??_);_(@_)"/>
    <numFmt numFmtId="169" formatCode="0.0"/>
    <numFmt numFmtId="170" formatCode="#,##0.0"/>
    <numFmt numFmtId="171" formatCode="&quot;$&quot;#,##0"/>
    <numFmt numFmtId="172" formatCode="_(* #,##0.0_);_(* \(#,##0.0\);_(* &quot;-&quot;??_);_(@_)"/>
    <numFmt numFmtId="173" formatCode="0_);[Red]\(0\)"/>
  </numFmts>
  <fonts count="4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charset val="134"/>
      <scheme val="minor"/>
    </font>
    <font>
      <b/>
      <sz val="12"/>
      <color theme="0"/>
      <name val="Calibri"/>
      <family val="2"/>
      <charset val="134"/>
      <scheme val="minor"/>
    </font>
    <font>
      <b/>
      <sz val="12"/>
      <color theme="1"/>
      <name val="Calibri"/>
      <family val="2"/>
      <charset val="134"/>
      <scheme val="minor"/>
    </font>
    <font>
      <b/>
      <sz val="12"/>
      <color rgb="FF000000"/>
      <name val="Calibri"/>
      <family val="2"/>
      <scheme val="minor"/>
    </font>
    <font>
      <sz val="12"/>
      <color rgb="FF000000"/>
      <name val="Calibri"/>
      <family val="2"/>
      <scheme val="minor"/>
    </font>
    <font>
      <b/>
      <sz val="12"/>
      <name val="Calibri"/>
      <family val="2"/>
      <scheme val="minor"/>
    </font>
    <font>
      <sz val="10"/>
      <color indexed="8"/>
      <name val="Arial"/>
      <family val="2"/>
    </font>
    <font>
      <sz val="11"/>
      <color indexed="8"/>
      <name val="Calibri"/>
      <family val="2"/>
      <scheme val="minor"/>
    </font>
    <font>
      <b/>
      <sz val="11"/>
      <color theme="1"/>
      <name val="Calibri"/>
      <family val="2"/>
      <scheme val="minor"/>
    </font>
    <font>
      <b/>
      <sz val="11"/>
      <color indexed="8"/>
      <name val="Calibri"/>
      <family val="2"/>
      <scheme val="minor"/>
    </font>
    <font>
      <b/>
      <sz val="9"/>
      <color indexed="81"/>
      <name val="Tahoma"/>
      <family val="2"/>
    </font>
    <font>
      <sz val="9"/>
      <color indexed="81"/>
      <name val="Tahoma"/>
      <family val="2"/>
    </font>
    <font>
      <b/>
      <sz val="16"/>
      <color theme="1"/>
      <name val="Calibri"/>
      <family val="2"/>
      <scheme val="minor"/>
    </font>
    <font>
      <sz val="9"/>
      <color theme="1"/>
      <name val="Calibri"/>
      <family val="2"/>
      <scheme val="minor"/>
    </font>
    <font>
      <sz val="10"/>
      <name val="Helv"/>
      <family val="2"/>
    </font>
    <font>
      <sz val="9"/>
      <name val="Calibri"/>
      <family val="2"/>
      <scheme val="minor"/>
    </font>
    <font>
      <b/>
      <sz val="9"/>
      <color theme="1"/>
      <name val="Calibri"/>
      <family val="2"/>
      <scheme val="minor"/>
    </font>
    <font>
      <b/>
      <sz val="9"/>
      <name val="Calibri"/>
      <family val="2"/>
      <scheme val="minor"/>
    </font>
    <font>
      <sz val="12"/>
      <color theme="1"/>
      <name val="Calibri"/>
      <family val="2"/>
      <scheme val="minor"/>
    </font>
    <font>
      <b/>
      <sz val="14"/>
      <color theme="1"/>
      <name val="Calibri"/>
      <family val="2"/>
      <scheme val="minor"/>
    </font>
    <font>
      <strike/>
      <sz val="11"/>
      <color theme="1"/>
      <name val="Calibri"/>
      <family val="2"/>
      <scheme val="minor"/>
    </font>
    <font>
      <strike/>
      <sz val="11"/>
      <color indexed="8"/>
      <name val="Calibri"/>
      <family val="2"/>
      <scheme val="minor"/>
    </font>
    <font>
      <strike/>
      <sz val="14"/>
      <color theme="1"/>
      <name val="Calibri"/>
      <family val="2"/>
      <scheme val="minor"/>
    </font>
    <font>
      <b/>
      <strike/>
      <sz val="11"/>
      <color theme="1"/>
      <name val="Calibri"/>
      <family val="2"/>
      <scheme val="minor"/>
    </font>
    <font>
      <sz val="14"/>
      <color indexed="8"/>
      <name val="Calibri"/>
      <family val="2"/>
      <scheme val="minor"/>
    </font>
    <font>
      <sz val="14"/>
      <color theme="1"/>
      <name val="Calibri"/>
      <family val="2"/>
      <scheme val="minor"/>
    </font>
    <font>
      <b/>
      <sz val="8"/>
      <color indexed="81"/>
      <name val="Tahoma"/>
      <family val="2"/>
    </font>
    <font>
      <sz val="8"/>
      <color indexed="81"/>
      <name val="Tahoma"/>
      <family val="2"/>
    </font>
    <font>
      <u/>
      <sz val="12"/>
      <color theme="10"/>
      <name val="Calibri"/>
      <family val="2"/>
      <scheme val="minor"/>
    </font>
    <font>
      <u/>
      <sz val="12"/>
      <color theme="11"/>
      <name val="Calibri"/>
      <family val="2"/>
      <scheme val="minor"/>
    </font>
    <font>
      <b/>
      <sz val="9"/>
      <color theme="1"/>
      <name val="Calibri"/>
      <family val="2"/>
    </font>
    <font>
      <sz val="10"/>
      <name val="Arial"/>
      <family val="2"/>
    </font>
    <font>
      <b/>
      <sz val="9"/>
      <color rgb="FFFF0000"/>
      <name val="Calibri"/>
      <family val="2"/>
      <scheme val="minor"/>
    </font>
    <font>
      <sz val="8"/>
      <name val="Calibri"/>
      <family val="2"/>
      <scheme val="minor"/>
    </font>
  </fonts>
  <fills count="23">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bgColor indexed="64"/>
      </patternFill>
    </fill>
    <fill>
      <patternFill patternType="solid">
        <fgColor theme="5" tint="0.3999755851924192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medium">
        <color auto="1"/>
      </top>
      <bottom/>
      <diagonal/>
    </border>
    <border>
      <left style="medium">
        <color auto="1"/>
      </left>
      <right/>
      <top style="medium">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s>
  <cellStyleXfs count="1030">
    <xf numFmtId="0" fontId="0" fillId="0" borderId="0"/>
    <xf numFmtId="0" fontId="12" fillId="0" borderId="0">
      <alignment vertical="top"/>
    </xf>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5" fillId="0" borderId="0"/>
    <xf numFmtId="0" fontId="20" fillId="0" borderId="0"/>
    <xf numFmtId="43"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2" fillId="0" borderId="0"/>
    <xf numFmtId="44" fontId="2" fillId="0" borderId="0" applyFont="0" applyFill="0" applyBorder="0" applyAlignment="0" applyProtection="0"/>
    <xf numFmtId="0" fontId="37" fillId="0" borderId="0"/>
    <xf numFmtId="43" fontId="2"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cellStyleXfs>
  <cellXfs count="297">
    <xf numFmtId="0" fontId="0" fillId="0" borderId="0" xfId="0"/>
    <xf numFmtId="0" fontId="0" fillId="0" borderId="0" xfId="0" applyFill="1" applyBorder="1" applyAlignment="1"/>
    <xf numFmtId="0" fontId="8" fillId="0" borderId="0" xfId="0" applyFont="1" applyFill="1" applyBorder="1" applyAlignment="1"/>
    <xf numFmtId="0" fontId="9" fillId="0" borderId="0" xfId="0" applyFont="1"/>
    <xf numFmtId="0" fontId="10" fillId="0" borderId="0" xfId="0" applyFont="1"/>
    <xf numFmtId="0" fontId="8" fillId="3" borderId="1" xfId="0" applyFont="1" applyFill="1" applyBorder="1" applyAlignment="1"/>
    <xf numFmtId="0" fontId="8" fillId="0" borderId="0" xfId="0" applyFont="1" applyBorder="1" applyAlignment="1"/>
    <xf numFmtId="0" fontId="8" fillId="3" borderId="2" xfId="0" applyFont="1" applyFill="1" applyBorder="1" applyAlignment="1"/>
    <xf numFmtId="0" fontId="8" fillId="3" borderId="3" xfId="0" applyFont="1" applyFill="1" applyBorder="1" applyAlignment="1"/>
    <xf numFmtId="0" fontId="8" fillId="3" borderId="1" xfId="0" applyFont="1" applyFill="1" applyBorder="1" applyAlignment="1">
      <alignment wrapText="1"/>
    </xf>
    <xf numFmtId="0" fontId="13"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1" fillId="3" borderId="1" xfId="0" applyFont="1" applyFill="1" applyBorder="1" applyAlignment="1">
      <alignment horizontal="center" vertical="center" wrapText="1"/>
    </xf>
    <xf numFmtId="2" fontId="13"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5" fillId="0" borderId="0" xfId="6" applyFont="1"/>
    <xf numFmtId="0" fontId="5" fillId="0" borderId="0" xfId="6" applyFont="1" applyFill="1"/>
    <xf numFmtId="0" fontId="5" fillId="0" borderId="0" xfId="6" applyFont="1" applyFill="1" applyAlignment="1">
      <alignment horizontal="center"/>
    </xf>
    <xf numFmtId="0" fontId="14" fillId="0" borderId="0" xfId="6" applyFont="1" applyAlignment="1">
      <alignment wrapText="1"/>
    </xf>
    <xf numFmtId="0" fontId="14" fillId="0" borderId="0" xfId="6" applyFont="1" applyFill="1" applyAlignment="1">
      <alignment wrapText="1"/>
    </xf>
    <xf numFmtId="0" fontId="18" fillId="0" borderId="0" xfId="6" applyFont="1" applyFill="1" applyBorder="1"/>
    <xf numFmtId="0" fontId="19" fillId="0" borderId="0" xfId="6" applyFont="1" applyFill="1" applyBorder="1" applyAlignment="1">
      <alignment horizontal="right"/>
    </xf>
    <xf numFmtId="0" fontId="19" fillId="0" borderId="0" xfId="6" applyFont="1" applyFill="1" applyBorder="1"/>
    <xf numFmtId="0" fontId="19" fillId="0" borderId="0" xfId="6" applyFont="1" applyFill="1" applyBorder="1" applyAlignment="1">
      <alignment horizontal="center"/>
    </xf>
    <xf numFmtId="166" fontId="19" fillId="0" borderId="0" xfId="6" applyNumberFormat="1" applyFont="1" applyFill="1" applyBorder="1" applyAlignment="1">
      <alignment horizontal="center"/>
    </xf>
    <xf numFmtId="0" fontId="21" fillId="0" borderId="0" xfId="7" applyFont="1" applyFill="1" applyBorder="1" applyAlignment="1">
      <alignment horizontal="left"/>
    </xf>
    <xf numFmtId="0" fontId="19" fillId="11" borderId="0" xfId="6" applyFont="1" applyFill="1" applyBorder="1"/>
    <xf numFmtId="0" fontId="2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166" fontId="23" fillId="6" borderId="1" xfId="6" applyNumberFormat="1" applyFont="1" applyFill="1" applyBorder="1" applyAlignment="1">
      <alignment horizontal="center" vertical="center" wrapText="1"/>
    </xf>
    <xf numFmtId="0" fontId="23" fillId="6" borderId="1" xfId="7" applyFont="1" applyFill="1" applyBorder="1" applyAlignment="1">
      <alignment horizontal="left" vertical="center" wrapText="1"/>
    </xf>
    <xf numFmtId="3" fontId="22" fillId="6" borderId="1" xfId="6" applyNumberFormat="1" applyFont="1" applyFill="1" applyBorder="1" applyAlignment="1">
      <alignment horizontal="center" vertical="center" wrapText="1"/>
    </xf>
    <xf numFmtId="3" fontId="22" fillId="0" borderId="1" xfId="6" applyNumberFormat="1" applyFont="1" applyFill="1" applyBorder="1" applyAlignment="1">
      <alignment horizontal="center" vertical="center" wrapText="1"/>
    </xf>
    <xf numFmtId="0" fontId="19" fillId="0" borderId="6" xfId="6" applyFont="1" applyFill="1" applyBorder="1" applyAlignment="1">
      <alignment vertical="center" wrapText="1"/>
    </xf>
    <xf numFmtId="0" fontId="19" fillId="0" borderId="7" xfId="6" applyFont="1" applyFill="1" applyBorder="1" applyAlignment="1">
      <alignment vertical="center" wrapText="1"/>
    </xf>
    <xf numFmtId="0" fontId="19" fillId="0" borderId="1" xfId="6" applyFont="1" applyFill="1" applyBorder="1"/>
    <xf numFmtId="0" fontId="19" fillId="0" borderId="1" xfId="6" applyFont="1" applyFill="1" applyBorder="1" applyAlignment="1">
      <alignment horizontal="right"/>
    </xf>
    <xf numFmtId="0" fontId="19" fillId="0" borderId="1" xfId="6" applyFont="1" applyFill="1" applyBorder="1" applyAlignment="1">
      <alignment horizontal="center"/>
    </xf>
    <xf numFmtId="166" fontId="19" fillId="0" borderId="1" xfId="6" applyNumberFormat="1" applyFont="1" applyFill="1" applyBorder="1" applyAlignment="1">
      <alignment horizontal="center"/>
    </xf>
    <xf numFmtId="0" fontId="21" fillId="0" borderId="1" xfId="6" applyFont="1" applyFill="1" applyBorder="1"/>
    <xf numFmtId="167" fontId="0" fillId="0" borderId="1" xfId="8" applyNumberFormat="1" applyFont="1" applyBorder="1"/>
    <xf numFmtId="167" fontId="19" fillId="0" borderId="1" xfId="8" applyNumberFormat="1" applyFont="1" applyFill="1" applyBorder="1"/>
    <xf numFmtId="2" fontId="19" fillId="0" borderId="1" xfId="6" applyNumberFormat="1" applyFont="1" applyFill="1" applyBorder="1"/>
    <xf numFmtId="0" fontId="24" fillId="0" borderId="1" xfId="6" applyFont="1" applyFill="1" applyBorder="1" applyAlignment="1">
      <alignment horizontal="center" vertical="center"/>
    </xf>
    <xf numFmtId="0" fontId="19" fillId="3" borderId="1" xfId="6" applyFont="1" applyFill="1" applyBorder="1" applyAlignment="1">
      <alignment horizontal="center"/>
    </xf>
    <xf numFmtId="0" fontId="19" fillId="12" borderId="1" xfId="6" applyFont="1" applyFill="1" applyBorder="1" applyAlignment="1">
      <alignment horizontal="center"/>
    </xf>
    <xf numFmtId="0" fontId="22" fillId="12" borderId="1" xfId="6" applyFont="1" applyFill="1" applyBorder="1" applyAlignment="1">
      <alignment horizontal="center"/>
    </xf>
    <xf numFmtId="0" fontId="19" fillId="3" borderId="1" xfId="6" applyFont="1" applyFill="1" applyBorder="1"/>
    <xf numFmtId="0" fontId="19" fillId="3" borderId="1" xfId="6" applyFont="1" applyFill="1" applyBorder="1" applyAlignment="1">
      <alignment horizontal="right"/>
    </xf>
    <xf numFmtId="166" fontId="19" fillId="3" borderId="1" xfId="6" applyNumberFormat="1" applyFont="1" applyFill="1" applyBorder="1" applyAlignment="1">
      <alignment horizontal="center"/>
    </xf>
    <xf numFmtId="167" fontId="0" fillId="3" borderId="1" xfId="8" applyNumberFormat="1" applyFont="1" applyFill="1" applyBorder="1"/>
    <xf numFmtId="167" fontId="19" fillId="3" borderId="1" xfId="8" applyNumberFormat="1" applyFont="1" applyFill="1" applyBorder="1"/>
    <xf numFmtId="2" fontId="19" fillId="3" borderId="1" xfId="6" applyNumberFormat="1" applyFont="1" applyFill="1" applyBorder="1"/>
    <xf numFmtId="0" fontId="24" fillId="3" borderId="1" xfId="6" applyFont="1" applyFill="1" applyBorder="1" applyAlignment="1">
      <alignment horizontal="center" vertical="center"/>
    </xf>
    <xf numFmtId="0" fontId="25" fillId="0" borderId="0" xfId="6" applyFont="1" applyAlignment="1">
      <alignment horizontal="center"/>
    </xf>
    <xf numFmtId="0" fontId="5" fillId="0" borderId="0" xfId="6"/>
    <xf numFmtId="0" fontId="5" fillId="10" borderId="1" xfId="6" applyFill="1" applyBorder="1"/>
    <xf numFmtId="0" fontId="5" fillId="0" borderId="1" xfId="6" applyBorder="1"/>
    <xf numFmtId="0" fontId="14" fillId="0" borderId="0" xfId="6" applyFont="1"/>
    <xf numFmtId="0" fontId="24" fillId="0" borderId="0" xfId="6" applyFont="1" applyFill="1" applyBorder="1" applyAlignment="1">
      <alignment horizontal="right" vertical="center"/>
    </xf>
    <xf numFmtId="3" fontId="5" fillId="0" borderId="0" xfId="6" applyNumberFormat="1"/>
    <xf numFmtId="0" fontId="5" fillId="0" borderId="0" xfId="6" applyAlignment="1">
      <alignment horizontal="right"/>
    </xf>
    <xf numFmtId="0" fontId="5" fillId="10" borderId="0" xfId="6" applyFill="1"/>
    <xf numFmtId="0" fontId="5" fillId="0" borderId="7" xfId="6" applyBorder="1"/>
    <xf numFmtId="0" fontId="5" fillId="0" borderId="0" xfId="6" applyBorder="1"/>
    <xf numFmtId="3" fontId="5" fillId="0" borderId="0" xfId="6" applyNumberFormat="1" applyFont="1" applyFill="1" applyAlignment="1">
      <alignment horizontal="center"/>
    </xf>
    <xf numFmtId="0" fontId="5" fillId="0" borderId="0" xfId="6" applyFont="1" applyFill="1" applyAlignment="1">
      <alignment wrapText="1"/>
    </xf>
    <xf numFmtId="0" fontId="5" fillId="0" borderId="0" xfId="6" applyFont="1" applyFill="1" applyAlignment="1">
      <alignment horizontal="center" wrapText="1"/>
    </xf>
    <xf numFmtId="0" fontId="15" fillId="0" borderId="0" xfId="6" applyFont="1" applyFill="1" applyAlignment="1">
      <alignment horizontal="center" wrapText="1"/>
    </xf>
    <xf numFmtId="0" fontId="14" fillId="0" borderId="0" xfId="6" applyFont="1" applyFill="1" applyBorder="1" applyAlignment="1">
      <alignment horizontal="center" wrapText="1"/>
    </xf>
    <xf numFmtId="3" fontId="15" fillId="0" borderId="0" xfId="6" applyNumberFormat="1" applyFont="1" applyFill="1" applyAlignment="1">
      <alignment horizontal="center" wrapText="1"/>
    </xf>
    <xf numFmtId="0" fontId="15" fillId="13" borderId="0" xfId="6" applyFont="1" applyFill="1" applyAlignment="1">
      <alignment horizontal="center" wrapText="1"/>
    </xf>
    <xf numFmtId="0" fontId="26" fillId="0" borderId="1" xfId="6" applyFont="1" applyFill="1" applyBorder="1" applyAlignment="1">
      <alignment vertical="center"/>
    </xf>
    <xf numFmtId="0" fontId="26" fillId="0" borderId="1" xfId="6" applyFont="1" applyFill="1" applyBorder="1" applyAlignment="1">
      <alignment horizontal="center" vertical="center"/>
    </xf>
    <xf numFmtId="3" fontId="27" fillId="0" borderId="1" xfId="6" applyNumberFormat="1" applyFont="1" applyFill="1" applyBorder="1" applyAlignment="1">
      <alignment horizontal="center" vertical="center"/>
    </xf>
    <xf numFmtId="0" fontId="27" fillId="0" borderId="1" xfId="6" applyFont="1" applyFill="1" applyBorder="1" applyAlignment="1">
      <alignment horizontal="center" vertical="center"/>
    </xf>
    <xf numFmtId="0" fontId="26" fillId="0" borderId="1" xfId="6" applyFont="1" applyFill="1" applyBorder="1" applyAlignment="1">
      <alignment vertical="center" wrapText="1"/>
    </xf>
    <xf numFmtId="0" fontId="28" fillId="13" borderId="1" xfId="6" applyFont="1" applyFill="1" applyBorder="1" applyAlignment="1">
      <alignment vertical="center" wrapText="1"/>
    </xf>
    <xf numFmtId="0" fontId="28" fillId="0" borderId="1" xfId="6" applyFont="1" applyFill="1" applyBorder="1" applyAlignment="1">
      <alignment horizontal="center" vertical="center" wrapText="1"/>
    </xf>
    <xf numFmtId="0" fontId="26" fillId="0" borderId="1" xfId="6" applyFont="1" applyFill="1" applyBorder="1" applyAlignment="1">
      <alignment horizontal="center" vertical="center" wrapText="1"/>
    </xf>
    <xf numFmtId="0" fontId="29" fillId="0" borderId="1" xfId="6" applyFont="1" applyFill="1" applyBorder="1" applyAlignment="1">
      <alignment horizontal="center" vertical="center" wrapText="1"/>
    </xf>
    <xf numFmtId="0" fontId="5" fillId="0" borderId="0" xfId="6" applyFont="1" applyFill="1" applyAlignment="1">
      <alignment vertical="center"/>
    </xf>
    <xf numFmtId="0" fontId="5" fillId="0" borderId="0" xfId="6" applyFont="1" applyAlignment="1">
      <alignment vertical="center"/>
    </xf>
    <xf numFmtId="3" fontId="13" fillId="0" borderId="1" xfId="6" applyNumberFormat="1" applyFont="1" applyFill="1" applyBorder="1" applyAlignment="1">
      <alignment horizontal="center" vertical="center"/>
    </xf>
    <xf numFmtId="0" fontId="13" fillId="0" borderId="1" xfId="6" applyFont="1" applyFill="1" applyBorder="1" applyAlignment="1">
      <alignment horizontal="center" vertical="center"/>
    </xf>
    <xf numFmtId="0" fontId="15" fillId="0" borderId="1" xfId="6" applyFont="1" applyFill="1" applyBorder="1" applyAlignment="1">
      <alignment horizontal="center" vertical="center"/>
    </xf>
    <xf numFmtId="0" fontId="13" fillId="0" borderId="1" xfId="6" applyFont="1" applyFill="1" applyBorder="1" applyAlignment="1">
      <alignment horizontal="left" vertical="center" wrapText="1"/>
    </xf>
    <xf numFmtId="0" fontId="30" fillId="13" borderId="1" xfId="6" applyFont="1" applyFill="1" applyBorder="1" applyAlignment="1">
      <alignment horizontal="center" vertical="center" wrapText="1"/>
    </xf>
    <xf numFmtId="0" fontId="30" fillId="0" borderId="1" xfId="6" applyFont="1" applyFill="1" applyBorder="1" applyAlignment="1">
      <alignment horizontal="center" vertical="center" wrapText="1"/>
    </xf>
    <xf numFmtId="0" fontId="13" fillId="0" borderId="1" xfId="6" applyFont="1" applyFill="1" applyBorder="1" applyAlignment="1">
      <alignment horizontal="center" vertical="center" wrapText="1"/>
    </xf>
    <xf numFmtId="0" fontId="14" fillId="0" borderId="1" xfId="6" applyFont="1" applyFill="1" applyBorder="1" applyAlignment="1">
      <alignment horizontal="center" vertical="center" wrapText="1"/>
    </xf>
    <xf numFmtId="0" fontId="30" fillId="13" borderId="1" xfId="6" applyFont="1" applyFill="1" applyBorder="1" applyAlignment="1">
      <alignment horizontal="left" vertical="center" wrapText="1"/>
    </xf>
    <xf numFmtId="0" fontId="15" fillId="0" borderId="1" xfId="6" applyFont="1" applyFill="1" applyBorder="1" applyAlignment="1">
      <alignment horizontal="center" vertical="center" wrapText="1"/>
    </xf>
    <xf numFmtId="0" fontId="5" fillId="8" borderId="0" xfId="6" applyFont="1" applyFill="1" applyAlignment="1">
      <alignment vertical="center"/>
    </xf>
    <xf numFmtId="0" fontId="31" fillId="13" borderId="1" xfId="6" applyFont="1" applyFill="1" applyBorder="1" applyAlignment="1">
      <alignment horizontal="center" vertical="center" wrapText="1"/>
    </xf>
    <xf numFmtId="0" fontId="31" fillId="13" borderId="1" xfId="6" applyFont="1" applyFill="1" applyBorder="1" applyAlignment="1">
      <alignment vertical="center" wrapText="1"/>
    </xf>
    <xf numFmtId="0" fontId="31" fillId="0" borderId="1" xfId="6" applyFont="1" applyFill="1" applyBorder="1" applyAlignment="1">
      <alignment horizontal="center" vertical="center" wrapText="1"/>
    </xf>
    <xf numFmtId="3" fontId="13" fillId="14" borderId="1" xfId="6" applyNumberFormat="1" applyFont="1" applyFill="1" applyBorder="1" applyAlignment="1">
      <alignment horizontal="center" vertical="center"/>
    </xf>
    <xf numFmtId="0" fontId="5" fillId="14" borderId="1" xfId="6" applyFill="1" applyBorder="1"/>
    <xf numFmtId="0" fontId="13" fillId="14" borderId="1" xfId="6" applyFont="1" applyFill="1" applyBorder="1" applyAlignment="1">
      <alignment horizontal="center" vertical="center"/>
    </xf>
    <xf numFmtId="0" fontId="31" fillId="14" borderId="1" xfId="6" applyFont="1" applyFill="1" applyBorder="1" applyAlignment="1">
      <alignment horizontal="center" vertical="center" wrapText="1"/>
    </xf>
    <xf numFmtId="0" fontId="31" fillId="14" borderId="1" xfId="6" applyFont="1" applyFill="1" applyBorder="1" applyAlignment="1">
      <alignment vertical="center" wrapText="1"/>
    </xf>
    <xf numFmtId="0" fontId="14" fillId="14" borderId="1" xfId="6" applyFont="1" applyFill="1" applyBorder="1" applyAlignment="1">
      <alignment horizontal="center" vertical="center" wrapText="1"/>
    </xf>
    <xf numFmtId="0" fontId="5" fillId="7" borderId="0" xfId="6" applyFont="1" applyFill="1" applyAlignment="1">
      <alignment vertical="center"/>
    </xf>
    <xf numFmtId="0" fontId="5" fillId="6" borderId="0" xfId="6" applyFont="1" applyFill="1" applyAlignment="1">
      <alignment vertical="center"/>
    </xf>
    <xf numFmtId="0" fontId="5" fillId="5" borderId="0" xfId="6" applyFont="1" applyFill="1" applyAlignment="1">
      <alignment vertical="center"/>
    </xf>
    <xf numFmtId="0" fontId="5" fillId="9" borderId="0" xfId="6" applyFont="1" applyFill="1" applyAlignment="1">
      <alignment vertical="center"/>
    </xf>
    <xf numFmtId="10" fontId="5" fillId="0" borderId="0" xfId="6" applyNumberFormat="1" applyFont="1"/>
    <xf numFmtId="0" fontId="8" fillId="3" borderId="2" xfId="0" applyFont="1" applyFill="1" applyBorder="1" applyAlignment="1">
      <alignment wrapText="1"/>
    </xf>
    <xf numFmtId="0" fontId="22" fillId="6" borderId="6" xfId="6" applyFont="1" applyFill="1" applyBorder="1" applyAlignment="1">
      <alignment horizontal="center" vertical="center" wrapText="1"/>
    </xf>
    <xf numFmtId="0" fontId="24" fillId="0" borderId="0" xfId="6" applyFont="1" applyFill="1" applyBorder="1" applyAlignment="1">
      <alignment horizontal="center" vertical="center"/>
    </xf>
    <xf numFmtId="0" fontId="24" fillId="3" borderId="0" xfId="6" applyFont="1" applyFill="1" applyBorder="1" applyAlignment="1">
      <alignment horizontal="center" vertical="center"/>
    </xf>
    <xf numFmtId="0" fontId="19" fillId="0" borderId="0" xfId="6" applyFont="1" applyFill="1" applyBorder="1" applyAlignment="1">
      <alignment horizontal="left"/>
    </xf>
    <xf numFmtId="0" fontId="24" fillId="0" borderId="0" xfId="6" applyFont="1" applyFill="1" applyBorder="1" applyAlignment="1">
      <alignment horizontal="left" vertical="center"/>
    </xf>
    <xf numFmtId="2" fontId="0" fillId="0" borderId="0" xfId="0" applyNumberFormat="1" applyFill="1" applyBorder="1" applyAlignment="1"/>
    <xf numFmtId="2" fontId="7" fillId="2" borderId="1" xfId="0" applyNumberFormat="1" applyFont="1" applyFill="1" applyBorder="1" applyAlignment="1"/>
    <xf numFmtId="2" fontId="0" fillId="0" borderId="0" xfId="0" applyNumberFormat="1"/>
    <xf numFmtId="44" fontId="0" fillId="0" borderId="0" xfId="4" applyFont="1" applyFill="1" applyBorder="1" applyAlignment="1"/>
    <xf numFmtId="44" fontId="8" fillId="3" borderId="1" xfId="4" applyFont="1" applyFill="1" applyBorder="1" applyAlignment="1"/>
    <xf numFmtId="44" fontId="8" fillId="3" borderId="1" xfId="4" applyFont="1" applyFill="1" applyBorder="1" applyAlignment="1">
      <alignment horizontal="center" vertical="center" wrapText="1"/>
    </xf>
    <xf numFmtId="44" fontId="0" fillId="0" borderId="0" xfId="4" applyFont="1"/>
    <xf numFmtId="167" fontId="0" fillId="0" borderId="0" xfId="3" applyNumberFormat="1" applyFont="1" applyFill="1" applyBorder="1" applyAlignment="1"/>
    <xf numFmtId="167" fontId="8" fillId="3" borderId="1" xfId="3" applyNumberFormat="1" applyFont="1" applyFill="1" applyBorder="1" applyAlignment="1"/>
    <xf numFmtId="167" fontId="8" fillId="3" borderId="1" xfId="3" applyNumberFormat="1" applyFont="1" applyFill="1" applyBorder="1" applyAlignment="1">
      <alignment horizontal="center" vertical="center" wrapText="1"/>
    </xf>
    <xf numFmtId="167" fontId="0" fillId="0" borderId="0" xfId="3" applyNumberFormat="1" applyFont="1"/>
    <xf numFmtId="0" fontId="8" fillId="16" borderId="1" xfId="0" applyFont="1" applyFill="1" applyBorder="1" applyAlignment="1">
      <alignment horizontal="center" vertical="center" wrapText="1"/>
    </xf>
    <xf numFmtId="0" fontId="0" fillId="0" borderId="1" xfId="0" applyBorder="1"/>
    <xf numFmtId="0" fontId="0" fillId="0" borderId="1" xfId="0" applyBorder="1" applyAlignment="1">
      <alignment horizontal="left" vertical="center"/>
    </xf>
    <xf numFmtId="166" fontId="0" fillId="0" borderId="1" xfId="0" applyNumberFormat="1" applyBorder="1"/>
    <xf numFmtId="167" fontId="0" fillId="0" borderId="1" xfId="3" applyNumberFormat="1" applyFont="1" applyBorder="1"/>
    <xf numFmtId="44" fontId="0" fillId="0" borderId="1" xfId="4" applyFont="1" applyBorder="1"/>
    <xf numFmtId="165" fontId="0" fillId="0" borderId="1" xfId="5" applyNumberFormat="1" applyFont="1" applyBorder="1"/>
    <xf numFmtId="0" fontId="0" fillId="0" borderId="1" xfId="0" applyBorder="1" applyAlignment="1">
      <alignment horizontal="center" vertical="center"/>
    </xf>
    <xf numFmtId="168" fontId="0" fillId="0" borderId="0" xfId="4" applyNumberFormat="1" applyFont="1" applyFill="1" applyBorder="1" applyAlignment="1">
      <alignment horizontal="center" vertical="center"/>
    </xf>
    <xf numFmtId="168" fontId="8" fillId="3" borderId="1" xfId="4" applyNumberFormat="1" applyFont="1" applyFill="1" applyBorder="1" applyAlignment="1">
      <alignment horizontal="center" vertical="center"/>
    </xf>
    <xf numFmtId="168" fontId="8" fillId="3" borderId="1" xfId="4" applyNumberFormat="1" applyFont="1" applyFill="1" applyBorder="1" applyAlignment="1">
      <alignment horizontal="center" vertical="center" wrapText="1"/>
    </xf>
    <xf numFmtId="168" fontId="0" fillId="0" borderId="1" xfId="4" applyNumberFormat="1" applyFont="1" applyBorder="1" applyAlignment="1">
      <alignment horizontal="center" vertical="center"/>
    </xf>
    <xf numFmtId="168" fontId="0" fillId="0" borderId="0" xfId="4" applyNumberFormat="1" applyFont="1" applyAlignment="1">
      <alignment horizontal="center" vertical="center"/>
    </xf>
    <xf numFmtId="0" fontId="14" fillId="0" borderId="0" xfId="10" applyFont="1" applyAlignment="1">
      <alignment horizontal="center" vertical="center" wrapText="1"/>
    </xf>
    <xf numFmtId="0" fontId="14" fillId="0" borderId="0" xfId="10" applyFont="1" applyFill="1" applyAlignment="1">
      <alignment horizontal="center" vertical="center" wrapText="1"/>
    </xf>
    <xf numFmtId="0" fontId="14" fillId="11" borderId="0" xfId="10" applyFont="1" applyFill="1" applyAlignment="1">
      <alignment horizontal="center" vertical="center" wrapText="1"/>
    </xf>
    <xf numFmtId="164" fontId="14" fillId="0" borderId="0" xfId="10" applyNumberFormat="1" applyFont="1" applyAlignment="1">
      <alignment horizontal="center" vertical="center" wrapText="1"/>
    </xf>
    <xf numFmtId="3" fontId="14" fillId="0" borderId="0" xfId="10" applyNumberFormat="1" applyFont="1" applyAlignment="1">
      <alignment horizontal="center" vertical="center" wrapText="1"/>
    </xf>
    <xf numFmtId="0" fontId="3" fillId="0" borderId="0" xfId="10"/>
    <xf numFmtId="3" fontId="14" fillId="10" borderId="0" xfId="10" applyNumberFormat="1" applyFont="1" applyFill="1" applyAlignment="1">
      <alignment horizontal="center" vertical="center" wrapText="1"/>
    </xf>
    <xf numFmtId="3" fontId="14" fillId="17" borderId="0" xfId="10" applyNumberFormat="1" applyFont="1" applyFill="1" applyAlignment="1">
      <alignment horizontal="center" vertical="center" wrapText="1"/>
    </xf>
    <xf numFmtId="0" fontId="3" fillId="0" borderId="0" xfId="10" applyAlignment="1">
      <alignment horizontal="center"/>
    </xf>
    <xf numFmtId="0" fontId="3" fillId="0" borderId="0" xfId="10" applyFill="1"/>
    <xf numFmtId="167" fontId="0" fillId="0" borderId="0" xfId="11" applyNumberFormat="1" applyFont="1"/>
    <xf numFmtId="164" fontId="3" fillId="0" borderId="0" xfId="10" applyNumberFormat="1"/>
    <xf numFmtId="3" fontId="3" fillId="0" borderId="0" xfId="10" applyNumberFormat="1"/>
    <xf numFmtId="3" fontId="3" fillId="10" borderId="0" xfId="10" applyNumberFormat="1" applyFill="1"/>
    <xf numFmtId="3" fontId="3" fillId="17" borderId="0" xfId="10" applyNumberFormat="1" applyFill="1"/>
    <xf numFmtId="0" fontId="3" fillId="18" borderId="0" xfId="10" applyFill="1" applyAlignment="1">
      <alignment horizontal="center"/>
    </xf>
    <xf numFmtId="0" fontId="3" fillId="18" borderId="0" xfId="10" applyFill="1"/>
    <xf numFmtId="164" fontId="3" fillId="18" borderId="0" xfId="10" applyNumberFormat="1" applyFill="1"/>
    <xf numFmtId="0" fontId="3" fillId="6" borderId="0" xfId="10" applyFill="1" applyAlignment="1">
      <alignment horizontal="center"/>
    </xf>
    <xf numFmtId="0" fontId="3" fillId="6" borderId="0" xfId="10" applyFill="1"/>
    <xf numFmtId="167" fontId="0" fillId="6" borderId="0" xfId="11" applyNumberFormat="1" applyFont="1" applyFill="1"/>
    <xf numFmtId="164" fontId="3" fillId="6" borderId="0" xfId="10" applyNumberFormat="1" applyFill="1"/>
    <xf numFmtId="3" fontId="3" fillId="6" borderId="0" xfId="10" applyNumberFormat="1" applyFill="1"/>
    <xf numFmtId="0" fontId="3" fillId="6" borderId="0" xfId="10" applyFill="1" applyAlignment="1">
      <alignment horizontal="left"/>
    </xf>
    <xf numFmtId="0" fontId="3" fillId="0" borderId="0" xfId="10" applyFill="1" applyAlignment="1">
      <alignment horizontal="center"/>
    </xf>
    <xf numFmtId="0" fontId="3" fillId="0" borderId="0" xfId="10" applyFont="1" applyFill="1" applyAlignment="1">
      <alignment horizontal="center"/>
    </xf>
    <xf numFmtId="44" fontId="8" fillId="3" borderId="0" xfId="4" applyFont="1" applyFill="1" applyBorder="1" applyAlignment="1"/>
    <xf numFmtId="44" fontId="8" fillId="5" borderId="1" xfId="4" applyFont="1" applyFill="1" applyBorder="1" applyAlignment="1">
      <alignment horizontal="center" vertical="center" wrapText="1"/>
    </xf>
    <xf numFmtId="0" fontId="13" fillId="19" borderId="1" xfId="0" applyFont="1" applyFill="1" applyBorder="1" applyAlignment="1">
      <alignment horizontal="left" vertical="center" wrapText="1"/>
    </xf>
    <xf numFmtId="0" fontId="8" fillId="6" borderId="1" xfId="0" applyFont="1" applyFill="1" applyBorder="1" applyAlignment="1">
      <alignment horizontal="center" vertical="center" wrapText="1"/>
    </xf>
    <xf numFmtId="0" fontId="0" fillId="0" borderId="1" xfId="0" applyBorder="1" applyAlignment="1">
      <alignment wrapText="1"/>
    </xf>
    <xf numFmtId="0" fontId="0" fillId="0" borderId="0" xfId="0" applyAlignment="1">
      <alignment wrapText="1"/>
    </xf>
    <xf numFmtId="0" fontId="19" fillId="0" borderId="0" xfId="438" applyFont="1" applyFill="1" applyBorder="1"/>
    <xf numFmtId="0" fontId="18" fillId="0" borderId="0" xfId="438" applyFont="1" applyFill="1" applyBorder="1"/>
    <xf numFmtId="0" fontId="19" fillId="0" borderId="0" xfId="438" applyFont="1" applyFill="1" applyBorder="1" applyAlignment="1">
      <alignment horizontal="right"/>
    </xf>
    <xf numFmtId="0" fontId="19" fillId="6" borderId="0" xfId="438" applyFont="1" applyFill="1" applyBorder="1" applyAlignment="1">
      <alignment horizontal="center"/>
    </xf>
    <xf numFmtId="0" fontId="19" fillId="0" borderId="0" xfId="438" applyFont="1" applyFill="1" applyBorder="1" applyAlignment="1">
      <alignment horizontal="center"/>
    </xf>
    <xf numFmtId="166" fontId="19" fillId="0" borderId="0" xfId="438" applyNumberFormat="1" applyFont="1" applyFill="1" applyBorder="1" applyAlignment="1">
      <alignment horizontal="center"/>
    </xf>
    <xf numFmtId="0" fontId="19" fillId="2" borderId="0" xfId="438" applyFont="1" applyFill="1" applyBorder="1" applyAlignment="1">
      <alignment horizontal="center"/>
    </xf>
    <xf numFmtId="0" fontId="19" fillId="2" borderId="0" xfId="438" applyFont="1" applyFill="1" applyBorder="1"/>
    <xf numFmtId="0" fontId="22" fillId="0" borderId="0" xfId="438" applyFont="1" applyFill="1" applyBorder="1" applyAlignment="1">
      <alignment horizontal="center"/>
    </xf>
    <xf numFmtId="169" fontId="19" fillId="0" borderId="0" xfId="438" applyNumberFormat="1" applyFont="1" applyFill="1" applyBorder="1"/>
    <xf numFmtId="167" fontId="19" fillId="0" borderId="0" xfId="438" applyNumberFormat="1" applyFont="1" applyFill="1" applyBorder="1"/>
    <xf numFmtId="0" fontId="19" fillId="6" borderId="0" xfId="438" applyFont="1" applyFill="1" applyBorder="1"/>
    <xf numFmtId="164" fontId="19" fillId="0" borderId="0" xfId="438" applyNumberFormat="1" applyFont="1" applyFill="1" applyBorder="1"/>
    <xf numFmtId="0" fontId="2" fillId="0" borderId="0" xfId="438"/>
    <xf numFmtId="1" fontId="2" fillId="0" borderId="0" xfId="438" applyNumberFormat="1"/>
    <xf numFmtId="0" fontId="2" fillId="6" borderId="0" xfId="438" applyFill="1"/>
    <xf numFmtId="0" fontId="19" fillId="11" borderId="0" xfId="438" applyFont="1" applyFill="1" applyBorder="1"/>
    <xf numFmtId="0" fontId="19" fillId="11" borderId="0" xfId="438" applyFont="1" applyFill="1" applyBorder="1" applyAlignment="1">
      <alignment horizontal="center"/>
    </xf>
    <xf numFmtId="44" fontId="19" fillId="0" borderId="0" xfId="439" applyFont="1" applyFill="1" applyBorder="1"/>
    <xf numFmtId="0" fontId="22" fillId="6" borderId="7" xfId="438" applyFont="1" applyFill="1" applyBorder="1" applyAlignment="1">
      <alignment horizontal="center" vertical="center" wrapText="1"/>
    </xf>
    <xf numFmtId="0" fontId="23" fillId="6" borderId="7" xfId="438" applyFont="1" applyFill="1" applyBorder="1" applyAlignment="1">
      <alignment horizontal="center" vertical="center" wrapText="1"/>
    </xf>
    <xf numFmtId="0" fontId="23" fillId="21" borderId="7" xfId="438" applyFont="1" applyFill="1" applyBorder="1" applyAlignment="1">
      <alignment horizontal="center" vertical="center" wrapText="1"/>
    </xf>
    <xf numFmtId="166" fontId="23" fillId="6" borderId="7" xfId="438" applyNumberFormat="1" applyFont="1" applyFill="1" applyBorder="1" applyAlignment="1">
      <alignment horizontal="center" vertical="center" wrapText="1"/>
    </xf>
    <xf numFmtId="0" fontId="23" fillId="9" borderId="7" xfId="438" applyFont="1" applyFill="1" applyBorder="1" applyAlignment="1">
      <alignment horizontal="center" vertical="center" wrapText="1"/>
    </xf>
    <xf numFmtId="0" fontId="23" fillId="6" borderId="7" xfId="7" applyFont="1" applyFill="1" applyBorder="1" applyAlignment="1">
      <alignment horizontal="left" vertical="center" wrapText="1"/>
    </xf>
    <xf numFmtId="3" fontId="22" fillId="6" borderId="7" xfId="438" applyNumberFormat="1" applyFont="1" applyFill="1" applyBorder="1" applyAlignment="1">
      <alignment horizontal="center" vertical="center" wrapText="1"/>
    </xf>
    <xf numFmtId="3" fontId="22" fillId="0" borderId="7" xfId="438" applyNumberFormat="1" applyFont="1" applyFill="1" applyBorder="1" applyAlignment="1">
      <alignment horizontal="center" vertical="center" wrapText="1"/>
    </xf>
    <xf numFmtId="164" fontId="22" fillId="6" borderId="7" xfId="438" applyNumberFormat="1" applyFont="1" applyFill="1" applyBorder="1" applyAlignment="1">
      <alignment horizontal="center" vertical="center" wrapText="1"/>
    </xf>
    <xf numFmtId="166" fontId="23" fillId="9" borderId="7" xfId="438" applyNumberFormat="1" applyFont="1" applyFill="1" applyBorder="1" applyAlignment="1">
      <alignment horizontal="center" vertical="center" wrapText="1"/>
    </xf>
    <xf numFmtId="170" fontId="22" fillId="0" borderId="7" xfId="438" applyNumberFormat="1" applyFont="1" applyFill="1" applyBorder="1" applyAlignment="1">
      <alignment horizontal="center" vertical="center" wrapText="1"/>
    </xf>
    <xf numFmtId="170" fontId="22" fillId="4" borderId="7" xfId="438" applyNumberFormat="1" applyFont="1" applyFill="1" applyBorder="1" applyAlignment="1">
      <alignment horizontal="center" vertical="center" wrapText="1"/>
    </xf>
    <xf numFmtId="169" fontId="22" fillId="4" borderId="7" xfId="438" applyNumberFormat="1" applyFont="1" applyFill="1" applyBorder="1" applyAlignment="1">
      <alignment horizontal="center" vertical="center" wrapText="1"/>
    </xf>
    <xf numFmtId="169" fontId="22" fillId="6" borderId="7" xfId="438" applyNumberFormat="1" applyFont="1" applyFill="1" applyBorder="1" applyAlignment="1">
      <alignment horizontal="center" vertical="center" wrapText="1"/>
    </xf>
    <xf numFmtId="171" fontId="22" fillId="6" borderId="7" xfId="438" applyNumberFormat="1" applyFont="1" applyFill="1" applyBorder="1" applyAlignment="1">
      <alignment horizontal="center" vertical="center" wrapText="1"/>
    </xf>
    <xf numFmtId="172" fontId="22" fillId="5" borderId="7" xfId="438" applyNumberFormat="1" applyFont="1" applyFill="1" applyBorder="1" applyAlignment="1">
      <alignment horizontal="center" vertical="center" wrapText="1"/>
    </xf>
    <xf numFmtId="171" fontId="22" fillId="4" borderId="7" xfId="438" applyNumberFormat="1" applyFont="1" applyFill="1" applyBorder="1" applyAlignment="1">
      <alignment horizontal="center" vertical="center" wrapText="1"/>
    </xf>
    <xf numFmtId="0" fontId="19" fillId="0" borderId="7" xfId="438" applyFont="1" applyFill="1" applyBorder="1" applyAlignment="1">
      <alignment vertical="center" wrapText="1"/>
    </xf>
    <xf numFmtId="0" fontId="22" fillId="0" borderId="7" xfId="438" applyFont="1" applyFill="1" applyBorder="1" applyAlignment="1">
      <alignment horizontal="center" vertical="center" wrapText="1"/>
    </xf>
    <xf numFmtId="0" fontId="22" fillId="0" borderId="7" xfId="438" applyFont="1" applyFill="1" applyBorder="1" applyAlignment="1">
      <alignment vertical="center" wrapText="1"/>
    </xf>
    <xf numFmtId="1" fontId="19" fillId="0" borderId="7" xfId="438" applyNumberFormat="1" applyFont="1" applyFill="1" applyBorder="1" applyAlignment="1">
      <alignment vertical="center" wrapText="1"/>
    </xf>
    <xf numFmtId="49" fontId="19" fillId="0" borderId="0" xfId="438" applyNumberFormat="1" applyFont="1" applyFill="1" applyBorder="1" applyAlignment="1">
      <alignment horizontal="center"/>
    </xf>
    <xf numFmtId="0" fontId="19" fillId="0" borderId="0" xfId="438" applyNumberFormat="1" applyFont="1" applyFill="1" applyBorder="1" applyAlignment="1">
      <alignment horizontal="center"/>
    </xf>
    <xf numFmtId="1" fontId="19" fillId="0" borderId="0" xfId="440" applyNumberFormat="1" applyFont="1" applyFill="1" applyAlignment="1" applyProtection="1">
      <alignment horizontal="left"/>
      <protection locked="0"/>
    </xf>
    <xf numFmtId="0" fontId="21" fillId="0" borderId="0" xfId="438" applyFont="1" applyFill="1" applyBorder="1"/>
    <xf numFmtId="0" fontId="19" fillId="10" borderId="0" xfId="438" applyFont="1" applyFill="1" applyBorder="1" applyAlignment="1">
      <alignment horizontal="center"/>
    </xf>
    <xf numFmtId="0" fontId="21" fillId="0" borderId="0" xfId="7" applyFont="1" applyFill="1" applyBorder="1" applyAlignment="1">
      <alignment horizontal="center"/>
    </xf>
    <xf numFmtId="167" fontId="0" fillId="0" borderId="0" xfId="441" applyNumberFormat="1" applyFont="1" applyBorder="1"/>
    <xf numFmtId="167" fontId="19" fillId="0" borderId="0" xfId="441" applyNumberFormat="1" applyFont="1" applyFill="1" applyBorder="1"/>
    <xf numFmtId="2" fontId="19" fillId="0" borderId="0" xfId="438" applyNumberFormat="1" applyFont="1" applyFill="1" applyBorder="1"/>
    <xf numFmtId="43" fontId="19" fillId="0" borderId="0" xfId="441" applyFont="1" applyFill="1" applyBorder="1"/>
    <xf numFmtId="173" fontId="19" fillId="0" borderId="0" xfId="438" applyNumberFormat="1" applyFont="1" applyFill="1" applyBorder="1"/>
    <xf numFmtId="169" fontId="19" fillId="0" borderId="0" xfId="441" applyNumberFormat="1" applyFont="1" applyFill="1" applyBorder="1"/>
    <xf numFmtId="172" fontId="19" fillId="0" borderId="0" xfId="438" applyNumberFormat="1" applyFont="1" applyFill="1" applyBorder="1"/>
    <xf numFmtId="43" fontId="19" fillId="0" borderId="0" xfId="438" applyNumberFormat="1" applyFont="1" applyFill="1" applyBorder="1"/>
    <xf numFmtId="0" fontId="24" fillId="0" borderId="0" xfId="438" applyFont="1" applyFill="1" applyBorder="1" applyAlignment="1">
      <alignment horizontal="center" vertical="center"/>
    </xf>
    <xf numFmtId="0" fontId="38" fillId="0" borderId="0" xfId="438" applyFont="1" applyFill="1" applyBorder="1" applyAlignment="1">
      <alignment horizontal="center"/>
    </xf>
    <xf numFmtId="0" fontId="21" fillId="0" borderId="0" xfId="438" applyFont="1" applyFill="1" applyBorder="1" applyAlignment="1">
      <alignment horizontal="center"/>
    </xf>
    <xf numFmtId="0" fontId="19" fillId="20" borderId="0" xfId="438" applyFont="1" applyFill="1" applyBorder="1"/>
    <xf numFmtId="0" fontId="22" fillId="20" borderId="0" xfId="438" applyFont="1" applyFill="1" applyBorder="1"/>
    <xf numFmtId="0" fontId="22" fillId="12" borderId="0" xfId="438" applyFont="1" applyFill="1" applyBorder="1" applyAlignment="1">
      <alignment horizontal="center"/>
    </xf>
    <xf numFmtId="0" fontId="19" fillId="3" borderId="0" xfId="438" applyFont="1" applyFill="1" applyBorder="1"/>
    <xf numFmtId="0" fontId="19" fillId="3" borderId="0" xfId="438" applyFont="1" applyFill="1" applyBorder="1" applyAlignment="1">
      <alignment horizontal="right"/>
    </xf>
    <xf numFmtId="0" fontId="19" fillId="3" borderId="0" xfId="438" applyFont="1" applyFill="1" applyBorder="1" applyAlignment="1">
      <alignment horizontal="center"/>
    </xf>
    <xf numFmtId="166" fontId="19" fillId="3" borderId="0" xfId="438" applyNumberFormat="1" applyFont="1" applyFill="1" applyBorder="1" applyAlignment="1">
      <alignment horizontal="center"/>
    </xf>
    <xf numFmtId="0" fontId="21" fillId="3" borderId="0" xfId="7" applyFont="1" applyFill="1" applyBorder="1" applyAlignment="1">
      <alignment horizontal="center"/>
    </xf>
    <xf numFmtId="167" fontId="0" fillId="3" borderId="0" xfId="441" applyNumberFormat="1" applyFont="1" applyFill="1" applyBorder="1"/>
    <xf numFmtId="167" fontId="19" fillId="3" borderId="0" xfId="441" applyNumberFormat="1" applyFont="1" applyFill="1" applyBorder="1"/>
    <xf numFmtId="2" fontId="19" fillId="3" borderId="0" xfId="438" applyNumberFormat="1" applyFont="1" applyFill="1" applyBorder="1"/>
    <xf numFmtId="43" fontId="19" fillId="3" borderId="0" xfId="441" applyFont="1" applyFill="1" applyBorder="1"/>
    <xf numFmtId="173" fontId="19" fillId="3" borderId="0" xfId="438" applyNumberFormat="1" applyFont="1" applyFill="1" applyBorder="1"/>
    <xf numFmtId="169" fontId="19" fillId="3" borderId="0" xfId="438" applyNumberFormat="1" applyFont="1" applyFill="1" applyBorder="1"/>
    <xf numFmtId="169" fontId="19" fillId="3" borderId="0" xfId="441" applyNumberFormat="1" applyFont="1" applyFill="1" applyBorder="1"/>
    <xf numFmtId="172" fontId="19" fillId="3" borderId="0" xfId="438" applyNumberFormat="1" applyFont="1" applyFill="1" applyBorder="1"/>
    <xf numFmtId="43" fontId="19" fillId="3" borderId="0" xfId="438" applyNumberFormat="1" applyFont="1" applyFill="1" applyBorder="1"/>
    <xf numFmtId="0" fontId="24" fillId="3" borderId="0" xfId="438" applyFont="1" applyFill="1" applyBorder="1" applyAlignment="1">
      <alignment horizontal="center" vertical="center"/>
    </xf>
    <xf numFmtId="0" fontId="22" fillId="14" borderId="0" xfId="438" applyFont="1" applyFill="1" applyBorder="1"/>
    <xf numFmtId="49" fontId="19" fillId="6" borderId="0" xfId="438" applyNumberFormat="1" applyFont="1" applyFill="1" applyBorder="1" applyAlignment="1">
      <alignment horizontal="center"/>
    </xf>
    <xf numFmtId="0" fontId="38" fillId="3" borderId="0" xfId="438" applyFont="1" applyFill="1" applyBorder="1" applyAlignment="1">
      <alignment horizontal="center"/>
    </xf>
    <xf numFmtId="0" fontId="19" fillId="22" borderId="0" xfId="438" applyFont="1" applyFill="1" applyBorder="1"/>
    <xf numFmtId="0" fontId="0" fillId="0" borderId="0" xfId="0" applyFont="1"/>
    <xf numFmtId="0" fontId="0" fillId="0" borderId="1" xfId="0" applyFill="1" applyBorder="1" applyAlignment="1">
      <alignment wrapText="1"/>
    </xf>
    <xf numFmtId="0" fontId="1" fillId="0" borderId="0" xfId="6" applyFont="1" applyFill="1"/>
    <xf numFmtId="0" fontId="1" fillId="0" borderId="0" xfId="6" applyFont="1" applyFill="1" applyAlignment="1">
      <alignment horizontal="center"/>
    </xf>
    <xf numFmtId="0" fontId="1" fillId="0" borderId="1" xfId="6" applyFont="1" applyBorder="1"/>
    <xf numFmtId="0" fontId="1" fillId="3" borderId="1" xfId="6" applyFont="1" applyFill="1" applyBorder="1"/>
    <xf numFmtId="3" fontId="1" fillId="0" borderId="0" xfId="6" applyNumberFormat="1" applyFont="1" applyFill="1" applyAlignment="1">
      <alignment horizontal="center"/>
    </xf>
    <xf numFmtId="0" fontId="1" fillId="0" borderId="0" xfId="6" applyFont="1" applyFill="1" applyAlignment="1">
      <alignment horizontal="right" wrapText="1"/>
    </xf>
    <xf numFmtId="0" fontId="1" fillId="0" borderId="0" xfId="6" applyFont="1" applyFill="1" applyAlignment="1">
      <alignment wrapText="1"/>
    </xf>
    <xf numFmtId="0" fontId="1" fillId="0" borderId="0" xfId="6" applyFont="1" applyFill="1" applyAlignment="1">
      <alignment horizontal="center" wrapText="1"/>
    </xf>
    <xf numFmtId="0" fontId="1" fillId="0" borderId="0" xfId="6" applyFont="1" applyFill="1" applyAlignment="1">
      <alignment vertical="center"/>
    </xf>
    <xf numFmtId="0" fontId="1" fillId="0" borderId="1" xfId="6" applyFont="1" applyFill="1" applyBorder="1" applyAlignment="1">
      <alignment vertical="center"/>
    </xf>
    <xf numFmtId="0" fontId="1" fillId="0" borderId="1" xfId="6" applyFont="1" applyFill="1" applyBorder="1" applyAlignment="1">
      <alignment horizontal="center" vertical="center"/>
    </xf>
    <xf numFmtId="0" fontId="1" fillId="0" borderId="1" xfId="6" applyFont="1" applyFill="1" applyBorder="1" applyAlignment="1">
      <alignment vertical="center" wrapText="1"/>
    </xf>
    <xf numFmtId="0" fontId="1" fillId="0" borderId="1" xfId="6" applyFont="1" applyFill="1" applyBorder="1" applyAlignment="1">
      <alignment horizontal="center" vertical="center" wrapText="1"/>
    </xf>
    <xf numFmtId="0" fontId="1" fillId="14" borderId="1" xfId="6" applyFont="1" applyFill="1" applyBorder="1" applyAlignment="1">
      <alignment vertical="center"/>
    </xf>
    <xf numFmtId="0" fontId="1" fillId="14" borderId="1" xfId="6" applyFont="1" applyFill="1" applyBorder="1" applyAlignment="1">
      <alignment horizontal="center" vertical="center"/>
    </xf>
    <xf numFmtId="0" fontId="1" fillId="14" borderId="1" xfId="6" applyFont="1" applyFill="1" applyBorder="1" applyAlignment="1">
      <alignment vertical="center" wrapText="1"/>
    </xf>
    <xf numFmtId="0" fontId="1" fillId="14" borderId="1" xfId="6" applyFont="1" applyFill="1" applyBorder="1" applyAlignment="1">
      <alignment horizontal="center" vertical="center" wrapText="1"/>
    </xf>
    <xf numFmtId="0" fontId="1" fillId="14" borderId="0" xfId="6" applyFont="1" applyFill="1" applyAlignment="1">
      <alignment vertical="center"/>
    </xf>
    <xf numFmtId="0" fontId="1" fillId="15" borderId="1" xfId="6" applyFont="1" applyFill="1" applyBorder="1" applyAlignment="1">
      <alignment vertical="center"/>
    </xf>
    <xf numFmtId="10" fontId="1" fillId="0" borderId="0" xfId="6" applyNumberFormat="1" applyFont="1" applyFill="1"/>
    <xf numFmtId="10" fontId="1" fillId="0" borderId="0" xfId="6" applyNumberFormat="1" applyFont="1" applyFill="1" applyAlignment="1">
      <alignment horizontal="center"/>
    </xf>
    <xf numFmtId="10" fontId="1" fillId="0" borderId="0" xfId="6" applyNumberFormat="1" applyFont="1" applyFill="1" applyAlignment="1">
      <alignment wrapText="1"/>
    </xf>
    <xf numFmtId="10" fontId="1" fillId="0" borderId="0" xfId="6" applyNumberFormat="1" applyFont="1" applyFill="1" applyAlignment="1">
      <alignment horizontal="center" wrapText="1"/>
    </xf>
    <xf numFmtId="0" fontId="1" fillId="0" borderId="0" xfId="10" applyFont="1" applyFill="1" applyBorder="1" applyAlignment="1">
      <alignment horizontal="center"/>
    </xf>
    <xf numFmtId="0" fontId="1" fillId="6" borderId="0" xfId="10" applyFont="1" applyFill="1" applyBorder="1" applyAlignment="1">
      <alignment horizontal="center"/>
    </xf>
    <xf numFmtId="0" fontId="1" fillId="18" borderId="0" xfId="10" applyFont="1" applyFill="1" applyBorder="1" applyAlignment="1">
      <alignment horizontal="center"/>
    </xf>
    <xf numFmtId="0" fontId="1" fillId="0" borderId="0" xfId="10" applyFont="1" applyFill="1" applyAlignment="1">
      <alignment horizontal="center"/>
    </xf>
    <xf numFmtId="0" fontId="1" fillId="0" borderId="0" xfId="438" applyFont="1" applyBorder="1"/>
    <xf numFmtId="0" fontId="1" fillId="3" borderId="0" xfId="438" applyFont="1" applyFill="1" applyBorder="1"/>
    <xf numFmtId="0" fontId="0" fillId="0" borderId="1" xfId="0" applyFill="1" applyBorder="1" applyAlignment="1">
      <alignment horizontal="left" vertical="center" wrapText="1"/>
    </xf>
    <xf numFmtId="0" fontId="5" fillId="10" borderId="0" xfId="6" applyFill="1" applyAlignment="1">
      <alignment horizontal="center" vertical="center"/>
    </xf>
    <xf numFmtId="0" fontId="5" fillId="0" borderId="0" xfId="6" applyAlignment="1">
      <alignment horizontal="center"/>
    </xf>
    <xf numFmtId="0" fontId="5" fillId="10" borderId="8" xfId="6" applyFill="1" applyBorder="1" applyAlignment="1">
      <alignment horizontal="center" vertical="center"/>
    </xf>
    <xf numFmtId="0" fontId="22" fillId="4" borderId="5" xfId="438" applyFont="1" applyFill="1" applyBorder="1" applyAlignment="1">
      <alignment horizontal="center"/>
    </xf>
    <xf numFmtId="0" fontId="22" fillId="4" borderId="4" xfId="438" applyFont="1" applyFill="1" applyBorder="1" applyAlignment="1">
      <alignment horizontal="center"/>
    </xf>
    <xf numFmtId="0" fontId="0" fillId="0" borderId="1" xfId="0" applyFont="1" applyBorder="1" applyAlignment="1">
      <alignment wrapText="1"/>
    </xf>
    <xf numFmtId="2" fontId="13" fillId="0" borderId="1" xfId="0" applyNumberFormat="1" applyFont="1" applyFill="1" applyBorder="1" applyAlignment="1">
      <alignment horizontal="center" vertical="center" wrapText="1"/>
    </xf>
    <xf numFmtId="0" fontId="0" fillId="3" borderId="0" xfId="0" applyFill="1"/>
    <xf numFmtId="0" fontId="0" fillId="3" borderId="0" xfId="0" applyFill="1" applyBorder="1" applyAlignment="1">
      <alignment wrapText="1"/>
    </xf>
    <xf numFmtId="0" fontId="0" fillId="0" borderId="0" xfId="0" applyBorder="1" applyAlignment="1">
      <alignment wrapText="1"/>
    </xf>
    <xf numFmtId="2" fontId="0" fillId="0" borderId="1" xfId="0" applyNumberFormat="1" applyFont="1" applyFill="1" applyBorder="1" applyAlignment="1">
      <alignment horizontal="center" vertical="center" wrapText="1"/>
    </xf>
    <xf numFmtId="0" fontId="0" fillId="3" borderId="9" xfId="0" applyFill="1" applyBorder="1" applyAlignment="1">
      <alignment wrapText="1"/>
    </xf>
    <xf numFmtId="0" fontId="0" fillId="3" borderId="10" xfId="0" applyFill="1" applyBorder="1" applyAlignment="1">
      <alignment wrapText="1"/>
    </xf>
  </cellXfs>
  <cellStyles count="1030">
    <cellStyle name="Comma" xfId="3" builtinId="3"/>
    <cellStyle name="Comma 2" xfId="8"/>
    <cellStyle name="Comma 3" xfId="11"/>
    <cellStyle name="Comma 4" xfId="441"/>
    <cellStyle name="Currency" xfId="4" builtinId="4"/>
    <cellStyle name="Currency 2" xfId="439"/>
    <cellStyle name="Followed Hyperlink" xfId="451" builtinId="9" hidden="1"/>
    <cellStyle name="Followed Hyperlink" xfId="698" builtinId="9" hidden="1"/>
    <cellStyle name="Followed Hyperlink" xfId="25" builtinId="9" hidden="1"/>
    <cellStyle name="Followed Hyperlink" xfId="709" builtinId="9" hidden="1"/>
    <cellStyle name="Followed Hyperlink" xfId="301" builtinId="9" hidden="1"/>
    <cellStyle name="Followed Hyperlink" xfId="733" builtinId="9" hidden="1"/>
    <cellStyle name="Followed Hyperlink" xfId="125" builtinId="9" hidden="1"/>
    <cellStyle name="Followed Hyperlink" xfId="289" builtinId="9" hidden="1"/>
    <cellStyle name="Followed Hyperlink" xfId="239" builtinId="9" hidden="1"/>
    <cellStyle name="Followed Hyperlink" xfId="682" builtinId="9" hidden="1"/>
    <cellStyle name="Followed Hyperlink" xfId="540" builtinId="9" hidden="1"/>
    <cellStyle name="Followed Hyperlink" xfId="586" builtinId="9" hidden="1"/>
    <cellStyle name="Followed Hyperlink" xfId="139" builtinId="9" hidden="1"/>
    <cellStyle name="Followed Hyperlink" xfId="584" builtinId="9" hidden="1"/>
    <cellStyle name="Followed Hyperlink" xfId="449" builtinId="9" hidden="1"/>
    <cellStyle name="Followed Hyperlink" xfId="145" builtinId="9" hidden="1"/>
    <cellStyle name="Followed Hyperlink" xfId="403" builtinId="9" hidden="1"/>
    <cellStyle name="Followed Hyperlink" xfId="447" builtinId="9" hidden="1"/>
    <cellStyle name="Followed Hyperlink" xfId="512" builtinId="9" hidden="1"/>
    <cellStyle name="Followed Hyperlink" xfId="668" builtinId="9" hidden="1"/>
    <cellStyle name="Followed Hyperlink" xfId="285" builtinId="9" hidden="1"/>
    <cellStyle name="Followed Hyperlink" xfId="506" builtinId="9" hidden="1"/>
    <cellStyle name="Followed Hyperlink" xfId="325" builtinId="9" hidden="1"/>
    <cellStyle name="Followed Hyperlink" xfId="67" builtinId="9" hidden="1"/>
    <cellStyle name="Followed Hyperlink" xfId="95" builtinId="9" hidden="1"/>
    <cellStyle name="Followed Hyperlink" xfId="654" builtinId="9" hidden="1"/>
    <cellStyle name="Followed Hyperlink" xfId="255" builtinId="9" hidden="1"/>
    <cellStyle name="Followed Hyperlink" xfId="103" builtinId="9" hidden="1"/>
    <cellStyle name="Followed Hyperlink" xfId="157" builtinId="9" hidden="1"/>
    <cellStyle name="Followed Hyperlink" xfId="608" builtinId="9" hidden="1"/>
    <cellStyle name="Followed Hyperlink" xfId="481" builtinId="9" hidden="1"/>
    <cellStyle name="Followed Hyperlink" xfId="349" builtinId="9" hidden="1"/>
    <cellStyle name="Followed Hyperlink" xfId="542" builtinId="9" hidden="1"/>
    <cellStyle name="Followed Hyperlink" xfId="55" builtinId="9" hidden="1"/>
    <cellStyle name="Followed Hyperlink" xfId="169" builtinId="9" hidden="1"/>
    <cellStyle name="Followed Hyperlink" xfId="243" builtinId="9" hidden="1"/>
    <cellStyle name="Followed Hyperlink" xfId="275" builtinId="9" hidden="1"/>
    <cellStyle name="Followed Hyperlink" xfId="477" builtinId="9" hidden="1"/>
    <cellStyle name="Followed Hyperlink" xfId="69" builtinId="9" hidden="1"/>
    <cellStyle name="Followed Hyperlink" xfId="504" builtinId="9" hidden="1"/>
    <cellStyle name="Followed Hyperlink" xfId="725" builtinId="9" hidden="1"/>
    <cellStyle name="Followed Hyperlink" xfId="680" builtinId="9" hidden="1"/>
    <cellStyle name="Followed Hyperlink" xfId="93" builtinId="9" hidden="1"/>
    <cellStyle name="Followed Hyperlink" xfId="564" builtinId="9" hidden="1"/>
    <cellStyle name="Followed Hyperlink" xfId="299" builtinId="9" hidden="1"/>
    <cellStyle name="Followed Hyperlink" xfId="510" builtinId="9" hidden="1"/>
    <cellStyle name="Followed Hyperlink" xfId="598" builtinId="9" hidden="1"/>
    <cellStyle name="Followed Hyperlink" xfId="674" builtinId="9" hidden="1"/>
    <cellStyle name="Followed Hyperlink" xfId="518" builtinId="9" hidden="1"/>
    <cellStyle name="Followed Hyperlink" xfId="345" builtinId="9" hidden="1"/>
    <cellStyle name="Followed Hyperlink" xfId="143" builtinId="9" hidden="1"/>
    <cellStyle name="Followed Hyperlink" xfId="249" builtinId="9" hidden="1"/>
    <cellStyle name="Followed Hyperlink" xfId="167" builtinId="9" hidden="1"/>
    <cellStyle name="Followed Hyperlink" xfId="582" builtinId="9" hidden="1"/>
    <cellStyle name="Followed Hyperlink" xfId="664" builtinId="9" hidden="1"/>
    <cellStyle name="Followed Hyperlink" xfId="558" builtinId="9" hidden="1"/>
    <cellStyle name="Followed Hyperlink" xfId="303" builtinId="9" hidden="1"/>
    <cellStyle name="Followed Hyperlink" xfId="435" builtinId="9" hidden="1"/>
    <cellStyle name="Followed Hyperlink" xfId="199" builtinId="9" hidden="1"/>
    <cellStyle name="Followed Hyperlink" xfId="45" builtinId="9" hidden="1"/>
    <cellStyle name="Followed Hyperlink" xfId="187" builtinId="9" hidden="1"/>
    <cellStyle name="Followed Hyperlink" xfId="385" builtinId="9" hidden="1"/>
    <cellStyle name="Followed Hyperlink" xfId="514" builtinId="9" hidden="1"/>
    <cellStyle name="Followed Hyperlink" xfId="676" builtinId="9" hidden="1"/>
    <cellStyle name="Followed Hyperlink" xfId="347" builtinId="9" hidden="1"/>
    <cellStyle name="Followed Hyperlink" xfId="443" builtinId="9" hidden="1"/>
    <cellStyle name="Followed Hyperlink" xfId="217" builtinId="9" hidden="1"/>
    <cellStyle name="Followed Hyperlink" xfId="315" builtinId="9" hidden="1"/>
    <cellStyle name="Followed Hyperlink" xfId="363" builtinId="9" hidden="1"/>
    <cellStyle name="Followed Hyperlink" xfId="594" builtinId="9" hidden="1"/>
    <cellStyle name="Followed Hyperlink" xfId="221" builtinId="9" hidden="1"/>
    <cellStyle name="Followed Hyperlink" xfId="311" builtinId="9" hidden="1"/>
    <cellStyle name="Followed Hyperlink" xfId="375" builtinId="9" hidden="1"/>
    <cellStyle name="Followed Hyperlink" xfId="672" builtinId="9" hidden="1"/>
    <cellStyle name="Followed Hyperlink" xfId="81" builtinId="9" hidden="1"/>
    <cellStyle name="Followed Hyperlink" xfId="129" builtinId="9" hidden="1"/>
    <cellStyle name="Followed Hyperlink" xfId="612" builtinId="9" hidden="1"/>
    <cellStyle name="Followed Hyperlink" xfId="15" builtinId="9" hidden="1"/>
    <cellStyle name="Followed Hyperlink" xfId="75" builtinId="9" hidden="1"/>
    <cellStyle name="Followed Hyperlink" xfId="107" builtinId="9" hidden="1"/>
    <cellStyle name="Followed Hyperlink" xfId="719" builtinId="9" hidden="1"/>
    <cellStyle name="Followed Hyperlink" xfId="189" builtinId="9" hidden="1"/>
    <cellStyle name="Followed Hyperlink" xfId="508" builtinId="9" hidden="1"/>
    <cellStyle name="Followed Hyperlink" xfId="113" builtinId="9" hidden="1"/>
    <cellStyle name="Followed Hyperlink" xfId="534" builtinId="9" hidden="1"/>
    <cellStyle name="Followed Hyperlink" xfId="600" builtinId="9" hidden="1"/>
    <cellStyle name="Followed Hyperlink" xfId="465" builtinId="9" hidden="1"/>
    <cellStyle name="Followed Hyperlink" xfId="395" builtinId="9" hidden="1"/>
    <cellStyle name="Followed Hyperlink" xfId="175" builtinId="9" hidden="1"/>
    <cellStyle name="Followed Hyperlink" xfId="636" builtinId="9" hidden="1"/>
    <cellStyle name="Followed Hyperlink" xfId="71" builtinId="9" hidden="1"/>
    <cellStyle name="Followed Hyperlink" xfId="554" builtinId="9" hidden="1"/>
    <cellStyle name="Followed Hyperlink" xfId="707" builtinId="9" hidden="1"/>
    <cellStyle name="Followed Hyperlink" xfId="399" builtinId="9" hidden="1"/>
    <cellStyle name="Followed Hyperlink" xfId="491" builtinId="9" hidden="1"/>
    <cellStyle name="Followed Hyperlink" xfId="638" builtinId="9" hidden="1"/>
    <cellStyle name="Followed Hyperlink" xfId="660" builtinId="9" hidden="1"/>
    <cellStyle name="Followed Hyperlink" xfId="97" builtinId="9" hidden="1"/>
    <cellStyle name="Followed Hyperlink" xfId="463" builtinId="9" hidden="1"/>
    <cellStyle name="Followed Hyperlink" xfId="149" builtinId="9" hidden="1"/>
    <cellStyle name="Followed Hyperlink" xfId="423" builtinId="9" hidden="1"/>
    <cellStyle name="Followed Hyperlink" xfId="265" builtinId="9" hidden="1"/>
    <cellStyle name="Followed Hyperlink" xfId="578" builtinId="9" hidden="1"/>
    <cellStyle name="Followed Hyperlink" xfId="596" builtinId="9" hidden="1"/>
    <cellStyle name="Followed Hyperlink" xfId="576" builtinId="9" hidden="1"/>
    <cellStyle name="Followed Hyperlink" xfId="273" builtinId="9" hidden="1"/>
    <cellStyle name="Followed Hyperlink" xfId="473" builtinId="9" hidden="1"/>
    <cellStyle name="Followed Hyperlink" xfId="377" builtinId="9" hidden="1"/>
    <cellStyle name="Followed Hyperlink" xfId="283" builtinId="9" hidden="1"/>
    <cellStyle name="Followed Hyperlink" xfId="251" builtinId="9" hidden="1"/>
    <cellStyle name="Followed Hyperlink" xfId="622" builtinId="9" hidden="1"/>
    <cellStyle name="Followed Hyperlink" xfId="546" builtinId="9" hidden="1"/>
    <cellStyle name="Followed Hyperlink" xfId="259" builtinId="9" hidden="1"/>
    <cellStyle name="Followed Hyperlink" xfId="391" builtinId="9" hidden="1"/>
    <cellStyle name="Followed Hyperlink" xfId="131" builtinId="9" hidden="1"/>
    <cellStyle name="Followed Hyperlink" xfId="141" builtinId="9" hidden="1"/>
    <cellStyle name="Followed Hyperlink" xfId="662" builtinId="9" hidden="1"/>
    <cellStyle name="Followed Hyperlink" xfId="153" builtinId="9" hidden="1"/>
    <cellStyle name="Followed Hyperlink" xfId="714" builtinId="9" hidden="1"/>
    <cellStyle name="Followed Hyperlink" xfId="163" builtinId="9" hidden="1"/>
    <cellStyle name="Followed Hyperlink" xfId="219" builtinId="9" hidden="1"/>
    <cellStyle name="Followed Hyperlink" xfId="556" builtinId="9" hidden="1"/>
    <cellStyle name="Followed Hyperlink" xfId="309" builtinId="9" hidden="1"/>
    <cellStyle name="Followed Hyperlink" xfId="305" builtinId="9" hidden="1"/>
    <cellStyle name="Followed Hyperlink" xfId="469" builtinId="9" hidden="1"/>
    <cellStyle name="Followed Hyperlink" xfId="703" builtinId="9" hidden="1"/>
    <cellStyle name="Followed Hyperlink" xfId="227" builtinId="9" hidden="1"/>
    <cellStyle name="Followed Hyperlink" xfId="109" builtinId="9" hidden="1"/>
    <cellStyle name="Followed Hyperlink" xfId="427" builtinId="9" hidden="1"/>
    <cellStyle name="Followed Hyperlink" xfId="425" builtinId="9" hidden="1"/>
    <cellStyle name="Followed Hyperlink" xfId="455" builtinId="9" hidden="1"/>
    <cellStyle name="Followed Hyperlink" xfId="737" builtinId="9" hidden="1"/>
    <cellStyle name="Followed Hyperlink" xfId="177" builtinId="9" hidden="1"/>
    <cellStyle name="Followed Hyperlink" xfId="497" builtinId="9" hidden="1"/>
    <cellStyle name="Followed Hyperlink" xfId="307" builtinId="9" hidden="1"/>
    <cellStyle name="Followed Hyperlink" xfId="415" builtinId="9" hidden="1"/>
    <cellStyle name="Followed Hyperlink" xfId="614" builtinId="9" hidden="1"/>
    <cellStyle name="Followed Hyperlink" xfId="267" builtinId="9" hidden="1"/>
    <cellStyle name="Followed Hyperlink" xfId="101" builtinId="9" hidden="1"/>
    <cellStyle name="Followed Hyperlink" xfId="670" builtinId="9" hidden="1"/>
    <cellStyle name="Followed Hyperlink" xfId="297" builtinId="9" hidden="1"/>
    <cellStyle name="Followed Hyperlink" xfId="467" builtinId="9" hidden="1"/>
    <cellStyle name="Followed Hyperlink" xfId="383" builtinId="9" hidden="1"/>
    <cellStyle name="Followed Hyperlink" xfId="650" builtinId="9" hidden="1"/>
    <cellStyle name="Followed Hyperlink" xfId="293" builtinId="9" hidden="1"/>
    <cellStyle name="Followed Hyperlink" xfId="610" builtinId="9" hidden="1"/>
    <cellStyle name="Followed Hyperlink" xfId="353" builtinId="9" hidden="1"/>
    <cellStyle name="Followed Hyperlink" xfId="147" builtinId="9" hidden="1"/>
    <cellStyle name="Followed Hyperlink" xfId="253" builtinId="9" hidden="1"/>
    <cellStyle name="Followed Hyperlink" xfId="105" builtinId="9" hidden="1"/>
    <cellStyle name="Followed Hyperlink" xfId="389" builtinId="9" hidden="1"/>
    <cellStyle name="Followed Hyperlink" xfId="401" builtinId="9" hidden="1"/>
    <cellStyle name="Followed Hyperlink" xfId="89" builtinId="9" hidden="1"/>
    <cellStyle name="Followed Hyperlink" xfId="257" builtinId="9" hidden="1"/>
    <cellStyle name="Followed Hyperlink" xfId="721" builtinId="9" hidden="1"/>
    <cellStyle name="Followed Hyperlink" xfId="207" builtinId="9" hidden="1"/>
    <cellStyle name="Followed Hyperlink" xfId="33" builtinId="9" hidden="1"/>
    <cellStyle name="Followed Hyperlink" xfId="475" builtinId="9" hidden="1"/>
    <cellStyle name="Followed Hyperlink" xfId="644" builtinId="9" hidden="1"/>
    <cellStyle name="Followed Hyperlink" xfId="291" builtinId="9" hidden="1"/>
    <cellStyle name="Followed Hyperlink" xfId="499" builtinId="9" hidden="1"/>
    <cellStyle name="Followed Hyperlink" xfId="628" builtinId="9" hidden="1"/>
    <cellStyle name="Followed Hyperlink" xfId="729" builtinId="9" hidden="1"/>
    <cellStyle name="Followed Hyperlink" xfId="355" builtinId="9" hidden="1"/>
    <cellStyle name="Followed Hyperlink" xfId="485" builtinId="9" hidden="1"/>
    <cellStyle name="Followed Hyperlink" xfId="574" builtinId="9" hidden="1"/>
    <cellStyle name="Followed Hyperlink" xfId="197" builtinId="9" hidden="1"/>
    <cellStyle name="Followed Hyperlink" xfId="57" builtinId="9" hidden="1"/>
    <cellStyle name="Followed Hyperlink" xfId="702" builtinId="9" hidden="1"/>
    <cellStyle name="Followed Hyperlink" xfId="658" builtinId="9" hidden="1"/>
    <cellStyle name="Followed Hyperlink" xfId="117" builtinId="9" hidden="1"/>
    <cellStyle name="Followed Hyperlink" xfId="115" builtinId="9" hidden="1"/>
    <cellStyle name="Followed Hyperlink" xfId="59" builtinId="9" hidden="1"/>
    <cellStyle name="Followed Hyperlink" xfId="201" builtinId="9" hidden="1"/>
    <cellStyle name="Followed Hyperlink" xfId="620" builtinId="9" hidden="1"/>
    <cellStyle name="Followed Hyperlink" xfId="419" builtinId="9" hidden="1"/>
    <cellStyle name="Followed Hyperlink" xfId="313" builtinId="9" hidden="1"/>
    <cellStyle name="Followed Hyperlink" xfId="337" builtinId="9" hidden="1"/>
    <cellStyle name="Followed Hyperlink" xfId="501" builtinId="9" hidden="1"/>
    <cellStyle name="Followed Hyperlink" xfId="522" builtinId="9" hidden="1"/>
    <cellStyle name="Followed Hyperlink" xfId="339" builtinId="9" hidden="1"/>
    <cellStyle name="Followed Hyperlink" xfId="369" builtinId="9" hidden="1"/>
    <cellStyle name="Followed Hyperlink" xfId="606" builtinId="9" hidden="1"/>
    <cellStyle name="Followed Hyperlink" xfId="37" builtinId="9" hidden="1"/>
    <cellStyle name="Followed Hyperlink" xfId="656" builtinId="9" hidden="1"/>
    <cellStyle name="Followed Hyperlink" xfId="528" builtinId="9" hidden="1"/>
    <cellStyle name="Followed Hyperlink" xfId="381" builtinId="9" hidden="1"/>
    <cellStyle name="Followed Hyperlink" xfId="524" builtinId="9" hidden="1"/>
    <cellStyle name="Followed Hyperlink" xfId="211" builtinId="9" hidden="1"/>
    <cellStyle name="Followed Hyperlink" xfId="31" builtinId="9" hidden="1"/>
    <cellStyle name="Followed Hyperlink" xfId="49" builtinId="9" hidden="1"/>
    <cellStyle name="Followed Hyperlink" xfId="433" builtinId="9" hidden="1"/>
    <cellStyle name="Followed Hyperlink" xfId="287" builtinId="9" hidden="1"/>
    <cellStyle name="Followed Hyperlink" xfId="193" builtinId="9" hidden="1"/>
    <cellStyle name="Followed Hyperlink" xfId="53" builtinId="9" hidden="1"/>
    <cellStyle name="Followed Hyperlink" xfId="646" builtinId="9" hidden="1"/>
    <cellStyle name="Followed Hyperlink" xfId="407" builtinId="9" hidden="1"/>
    <cellStyle name="Followed Hyperlink" xfId="727" builtinId="9" hidden="1"/>
    <cellStyle name="Followed Hyperlink" xfId="77" builtinId="9" hidden="1"/>
    <cellStyle name="Followed Hyperlink" xfId="63" builtinId="9" hidden="1"/>
    <cellStyle name="Followed Hyperlink" xfId="371" builtinId="9" hidden="1"/>
    <cellStyle name="Followed Hyperlink" xfId="373" builtinId="9" hidden="1"/>
    <cellStyle name="Followed Hyperlink" xfId="35" builtinId="9" hidden="1"/>
    <cellStyle name="Followed Hyperlink" xfId="327" builtinId="9" hidden="1"/>
    <cellStyle name="Followed Hyperlink" xfId="696" builtinId="9" hidden="1"/>
    <cellStyle name="Followed Hyperlink" xfId="359" builtinId="9" hidden="1"/>
    <cellStyle name="Followed Hyperlink" xfId="271" builtinId="9" hidden="1"/>
    <cellStyle name="Followed Hyperlink" xfId="502" builtinId="9" hidden="1"/>
    <cellStyle name="Followed Hyperlink" xfId="461" builtinId="9" hidden="1"/>
    <cellStyle name="Followed Hyperlink" xfId="692" builtinId="9" hidden="1"/>
    <cellStyle name="Followed Hyperlink" xfId="495" builtinId="9" hidden="1"/>
    <cellStyle name="Followed Hyperlink" xfId="630" builtinId="9" hidden="1"/>
    <cellStyle name="Followed Hyperlink" xfId="213" builtinId="9" hidden="1"/>
    <cellStyle name="Followed Hyperlink" xfId="530" builtinId="9" hidden="1"/>
    <cellStyle name="Followed Hyperlink" xfId="588" builtinId="9" hidden="1"/>
    <cellStyle name="Followed Hyperlink" xfId="235" builtinId="9" hidden="1"/>
    <cellStyle name="Followed Hyperlink" xfId="640" builtinId="9" hidden="1"/>
    <cellStyle name="Followed Hyperlink" xfId="715" builtinId="9" hidden="1"/>
    <cellStyle name="Followed Hyperlink" xfId="642" builtinId="9" hidden="1"/>
    <cellStyle name="Followed Hyperlink" xfId="335" builtinId="9" hidden="1"/>
    <cellStyle name="Followed Hyperlink" xfId="241" builtinId="9" hidden="1"/>
    <cellStyle name="Followed Hyperlink" xfId="616" builtinId="9" hidden="1"/>
    <cellStyle name="Followed Hyperlink" xfId="365" builtinId="9" hidden="1"/>
    <cellStyle name="Followed Hyperlink" xfId="171" builtinId="9" hidden="1"/>
    <cellStyle name="Followed Hyperlink" xfId="277" builtinId="9" hidden="1"/>
    <cellStyle name="Followed Hyperlink" xfId="379" builtinId="9" hidden="1"/>
    <cellStyle name="Followed Hyperlink" xfId="367" builtinId="9" hidden="1"/>
    <cellStyle name="Followed Hyperlink" xfId="173" builtinId="9" hidden="1"/>
    <cellStyle name="Followed Hyperlink" xfId="99" builtinId="9" hidden="1"/>
    <cellStyle name="Followed Hyperlink" xfId="269" builtinId="9" hidden="1"/>
    <cellStyle name="Followed Hyperlink" xfId="690" builtinId="9" hidden="1"/>
    <cellStyle name="Followed Hyperlink" xfId="263" builtinId="9" hidden="1"/>
    <cellStyle name="Followed Hyperlink" xfId="39" builtinId="9" hidden="1"/>
    <cellStyle name="Followed Hyperlink" xfId="457" builtinId="9" hidden="1"/>
    <cellStyle name="Followed Hyperlink" xfId="351" builtinId="9" hidden="1"/>
    <cellStyle name="Followed Hyperlink" xfId="237" builtinId="9" hidden="1"/>
    <cellStyle name="Followed Hyperlink" xfId="195" builtinId="9" hidden="1"/>
    <cellStyle name="Followed Hyperlink" xfId="85" builtinId="9" hidden="1"/>
    <cellStyle name="Followed Hyperlink" xfId="459" builtinId="9" hidden="1"/>
    <cellStyle name="Followed Hyperlink" xfId="626" builtinId="9" hidden="1"/>
    <cellStyle name="Followed Hyperlink" xfId="357" builtinId="9" hidden="1"/>
    <cellStyle name="Followed Hyperlink" xfId="231" builtinId="9" hidden="1"/>
    <cellStyle name="Followed Hyperlink" xfId="361" builtinId="9" hidden="1"/>
    <cellStyle name="Followed Hyperlink" xfId="592" builtinId="9" hidden="1"/>
    <cellStyle name="Followed Hyperlink" xfId="393" builtinId="9" hidden="1"/>
    <cellStyle name="Followed Hyperlink" xfId="437" builtinId="9" hidden="1"/>
    <cellStyle name="Followed Hyperlink" xfId="405" builtinId="9" hidden="1"/>
    <cellStyle name="Followed Hyperlink" xfId="634" builtinId="9" hidden="1"/>
    <cellStyle name="Followed Hyperlink" xfId="686" builtinId="9" hidden="1"/>
    <cellStyle name="Followed Hyperlink" xfId="261" builtinId="9" hidden="1"/>
    <cellStyle name="Followed Hyperlink" xfId="688" builtinId="9" hidden="1"/>
    <cellStyle name="Followed Hyperlink" xfId="43" builtinId="9" hidden="1"/>
    <cellStyle name="Followed Hyperlink" xfId="652" builtinId="9" hidden="1"/>
    <cellStyle name="Followed Hyperlink" xfId="161" builtinId="9" hidden="1"/>
    <cellStyle name="Followed Hyperlink" xfId="179" builtinId="9" hidden="1"/>
    <cellStyle name="Followed Hyperlink" xfId="421" builtinId="9" hidden="1"/>
    <cellStyle name="Followed Hyperlink" xfId="666" builtinId="9" hidden="1"/>
    <cellStyle name="Followed Hyperlink" xfId="245" builtinId="9" hidden="1"/>
    <cellStyle name="Followed Hyperlink" xfId="700" builtinId="9" hidden="1"/>
    <cellStyle name="Followed Hyperlink" xfId="27" builtinId="9" hidden="1"/>
    <cellStyle name="Followed Hyperlink" xfId="29" builtinId="9" hidden="1"/>
    <cellStyle name="Followed Hyperlink" xfId="281" builtinId="9" hidden="1"/>
    <cellStyle name="Followed Hyperlink" xfId="604" builtinId="9" hidden="1"/>
    <cellStyle name="Followed Hyperlink" xfId="321" builtinId="9" hidden="1"/>
    <cellStyle name="Followed Hyperlink" xfId="678" builtinId="9" hidden="1"/>
    <cellStyle name="Followed Hyperlink" xfId="151" builtinId="9" hidden="1"/>
    <cellStyle name="Followed Hyperlink" xfId="387" builtinId="9" hidden="1"/>
    <cellStyle name="Followed Hyperlink" xfId="735" builtinId="9" hidden="1"/>
    <cellStyle name="Followed Hyperlink" xfId="83" builtinId="9" hidden="1"/>
    <cellStyle name="Followed Hyperlink" xfId="247" builtinId="9" hidden="1"/>
    <cellStyle name="Followed Hyperlink" xfId="91" builtinId="9" hidden="1"/>
    <cellStyle name="Followed Hyperlink" xfId="317" builtinId="9" hidden="1"/>
    <cellStyle name="Followed Hyperlink" xfId="713" builtinId="9" hidden="1"/>
    <cellStyle name="Followed Hyperlink" xfId="411" builtinId="9" hidden="1"/>
    <cellStyle name="Followed Hyperlink" xfId="229" builtinId="9" hidden="1"/>
    <cellStyle name="Followed Hyperlink" xfId="135" builtinId="9" hidden="1"/>
    <cellStyle name="Followed Hyperlink" xfId="580" builtinId="9" hidden="1"/>
    <cellStyle name="Followed Hyperlink" xfId="409" builtinId="9" hidden="1"/>
    <cellStyle name="Followed Hyperlink" xfId="731" builtinId="9" hidden="1"/>
    <cellStyle name="Followed Hyperlink" xfId="331" builtinId="9" hidden="1"/>
    <cellStyle name="Followed Hyperlink" xfId="413" builtinId="9" hidden="1"/>
    <cellStyle name="Followed Hyperlink" xfId="65" builtinId="9" hidden="1"/>
    <cellStyle name="Followed Hyperlink" xfId="223" builtinId="9" hidden="1"/>
    <cellStyle name="Followed Hyperlink" xfId="295" builtinId="9" hidden="1"/>
    <cellStyle name="Followed Hyperlink" xfId="489" builtinId="9" hidden="1"/>
    <cellStyle name="Followed Hyperlink" xfId="536" builtinId="9" hidden="1"/>
    <cellStyle name="Followed Hyperlink" xfId="51" builtinId="9" hidden="1"/>
    <cellStyle name="Followed Hyperlink" xfId="133" builtinId="9" hidden="1"/>
    <cellStyle name="Followed Hyperlink" xfId="618" builtinId="9" hidden="1"/>
    <cellStyle name="Followed Hyperlink" xfId="723" builtinId="9" hidden="1"/>
    <cellStyle name="Followed Hyperlink" xfId="431" builtinId="9" hidden="1"/>
    <cellStyle name="Followed Hyperlink" xfId="329" builtinId="9" hidden="1"/>
    <cellStyle name="Followed Hyperlink" xfId="279" builtinId="9" hidden="1"/>
    <cellStyle name="Followed Hyperlink" xfId="23" builtinId="9" hidden="1"/>
    <cellStyle name="Followed Hyperlink" xfId="566" builtinId="9" hidden="1"/>
    <cellStyle name="Followed Hyperlink" xfId="544" builtinId="9" hidden="1"/>
    <cellStyle name="Followed Hyperlink" xfId="711" builtinId="9" hidden="1"/>
    <cellStyle name="Followed Hyperlink" xfId="121" builtinId="9" hidden="1"/>
    <cellStyle name="Followed Hyperlink" xfId="225" builtinId="9" hidden="1"/>
    <cellStyle name="Followed Hyperlink" xfId="590" builtinId="9" hidden="1"/>
    <cellStyle name="Followed Hyperlink" xfId="550" builtinId="9" hidden="1"/>
    <cellStyle name="Followed Hyperlink" xfId="552" builtinId="9" hidden="1"/>
    <cellStyle name="Followed Hyperlink" xfId="417" builtinId="9" hidden="1"/>
    <cellStyle name="Followed Hyperlink" xfId="183" builtinId="9" hidden="1"/>
    <cellStyle name="Followed Hyperlink" xfId="532" builtinId="9" hidden="1"/>
    <cellStyle name="Followed Hyperlink" xfId="341" builtinId="9" hidden="1"/>
    <cellStyle name="Followed Hyperlink" xfId="165" builtinId="9" hidden="1"/>
    <cellStyle name="Followed Hyperlink" xfId="41" builtinId="9" hidden="1"/>
    <cellStyle name="Followed Hyperlink" xfId="119" builtinId="9" hidden="1"/>
    <cellStyle name="Followed Hyperlink" xfId="453" builtinId="9" hidden="1"/>
    <cellStyle name="Followed Hyperlink" xfId="155" builtinId="9" hidden="1"/>
    <cellStyle name="Followed Hyperlink" xfId="548" builtinId="9" hidden="1"/>
    <cellStyle name="Followed Hyperlink" xfId="562" builtinId="9" hidden="1"/>
    <cellStyle name="Followed Hyperlink" xfId="21" builtinId="9" hidden="1"/>
    <cellStyle name="Followed Hyperlink" xfId="13" builtinId="9" hidden="1"/>
    <cellStyle name="Followed Hyperlink" xfId="568" builtinId="9" hidden="1"/>
    <cellStyle name="Followed Hyperlink" xfId="572" builtinId="9" hidden="1"/>
    <cellStyle name="Followed Hyperlink" xfId="648" builtinId="9" hidden="1"/>
    <cellStyle name="Followed Hyperlink" xfId="233" builtinId="9" hidden="1"/>
    <cellStyle name="Followed Hyperlink" xfId="333" builtinId="9" hidden="1"/>
    <cellStyle name="Followed Hyperlink" xfId="632" builtinId="9" hidden="1"/>
    <cellStyle name="Followed Hyperlink" xfId="159" builtinId="9" hidden="1"/>
    <cellStyle name="Followed Hyperlink" xfId="137" builtinId="9" hidden="1"/>
    <cellStyle name="Followed Hyperlink" xfId="73" builtinId="9" hidden="1"/>
    <cellStyle name="Followed Hyperlink" xfId="526" builtinId="9" hidden="1"/>
    <cellStyle name="Followed Hyperlink" xfId="127" builtinId="9" hidden="1"/>
    <cellStyle name="Followed Hyperlink" xfId="570" builtinId="9" hidden="1"/>
    <cellStyle name="Followed Hyperlink" xfId="191" builtinId="9" hidden="1"/>
    <cellStyle name="Followed Hyperlink" xfId="61" builtinId="9" hidden="1"/>
    <cellStyle name="Followed Hyperlink" xfId="343" builtinId="9" hidden="1"/>
    <cellStyle name="Followed Hyperlink" xfId="694" builtinId="9" hidden="1"/>
    <cellStyle name="Followed Hyperlink" xfId="717" builtinId="9" hidden="1"/>
    <cellStyle name="Followed Hyperlink" xfId="319" builtinId="9" hidden="1"/>
    <cellStyle name="Followed Hyperlink" xfId="397" builtinId="9" hidden="1"/>
    <cellStyle name="Followed Hyperlink" xfId="87" builtinId="9" hidden="1"/>
    <cellStyle name="Followed Hyperlink" xfId="79" builtinId="9" hidden="1"/>
    <cellStyle name="Followed Hyperlink" xfId="538" builtinId="9" hidden="1"/>
    <cellStyle name="Followed Hyperlink" xfId="516" builtinId="9" hidden="1"/>
    <cellStyle name="Followed Hyperlink" xfId="19" builtinId="9" hidden="1"/>
    <cellStyle name="Followed Hyperlink" xfId="705" builtinId="9" hidden="1"/>
    <cellStyle name="Followed Hyperlink" xfId="479" builtinId="9" hidden="1"/>
    <cellStyle name="Followed Hyperlink" xfId="445" builtinId="9" hidden="1"/>
    <cellStyle name="Followed Hyperlink" xfId="47" builtinId="9" hidden="1"/>
    <cellStyle name="Followed Hyperlink" xfId="323" builtinId="9" hidden="1"/>
    <cellStyle name="Followed Hyperlink" xfId="205" builtinId="9" hidden="1"/>
    <cellStyle name="Followed Hyperlink" xfId="624" builtinId="9" hidden="1"/>
    <cellStyle name="Followed Hyperlink" xfId="215" builtinId="9" hidden="1"/>
    <cellStyle name="Followed Hyperlink" xfId="181" builtinId="9" hidden="1"/>
    <cellStyle name="Followed Hyperlink" xfId="209" builtinId="9" hidden="1"/>
    <cellStyle name="Followed Hyperlink" xfId="487" builtinId="9" hidden="1"/>
    <cellStyle name="Followed Hyperlink" xfId="602" builtinId="9" hidden="1"/>
    <cellStyle name="Followed Hyperlink" xfId="123" builtinId="9" hidden="1"/>
    <cellStyle name="Followed Hyperlink" xfId="429" builtinId="9" hidden="1"/>
    <cellStyle name="Followed Hyperlink" xfId="17" builtinId="9" hidden="1"/>
    <cellStyle name="Followed Hyperlink" xfId="483" builtinId="9" hidden="1"/>
    <cellStyle name="Followed Hyperlink" xfId="111" builtinId="9" hidden="1"/>
    <cellStyle name="Followed Hyperlink" xfId="520" builtinId="9" hidden="1"/>
    <cellStyle name="Followed Hyperlink" xfId="185" builtinId="9" hidden="1"/>
    <cellStyle name="Followed Hyperlink" xfId="203" builtinId="9" hidden="1"/>
    <cellStyle name="Followed Hyperlink" xfId="493" builtinId="9" hidden="1"/>
    <cellStyle name="Followed Hyperlink" xfId="684" builtinId="9" hidden="1"/>
    <cellStyle name="Followed Hyperlink" xfId="471" builtinId="9" hidden="1"/>
    <cellStyle name="Followed Hyperlink" xfId="560"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Hyperlink" xfId="462" builtinId="8" hidden="1"/>
    <cellStyle name="Hyperlink" xfId="66" builtinId="8" hidden="1"/>
    <cellStyle name="Hyperlink" xfId="346" builtinId="8" hidden="1"/>
    <cellStyle name="Hyperlink" xfId="358" builtinId="8" hidden="1"/>
    <cellStyle name="Hyperlink" xfId="589" builtinId="8" hidden="1"/>
    <cellStyle name="Hyperlink" xfId="218" builtinId="8" hidden="1"/>
    <cellStyle name="Hyperlink" xfId="466" builtinId="8" hidden="1"/>
    <cellStyle name="Hyperlink" xfId="276" builtinId="8" hidden="1"/>
    <cellStyle name="Hyperlink" xfId="535" builtinId="8" hidden="1"/>
    <cellStyle name="Hyperlink" xfId="679" builtinId="8" hidden="1"/>
    <cellStyle name="Hyperlink" xfId="32" builtinId="8" hidden="1"/>
    <cellStyle name="Hyperlink" xfId="699" builtinId="8" hidden="1"/>
    <cellStyle name="Hyperlink" xfId="150" builtinId="8" hidden="1"/>
    <cellStyle name="Hyperlink" xfId="557" builtinId="8" hidden="1"/>
    <cellStyle name="Hyperlink" xfId="581" builtinId="8" hidden="1"/>
    <cellStyle name="Hyperlink" xfId="621" builtinId="8" hidden="1"/>
    <cellStyle name="Hyperlink" xfId="54" builtinId="8" hidden="1"/>
    <cellStyle name="Hyperlink" xfId="687" builtinId="8" hidden="1"/>
    <cellStyle name="Hyperlink" xfId="64" builtinId="8" hidden="1"/>
    <cellStyle name="Hyperlink" xfId="172" builtinId="8" hidden="1"/>
    <cellStyle name="Hyperlink" xfId="360" builtinId="8" hidden="1"/>
    <cellStyle name="Hyperlink" xfId="667" builtinId="8" hidden="1"/>
    <cellStyle name="Hyperlink" xfId="710" builtinId="8" hidden="1"/>
    <cellStyle name="Hyperlink" xfId="134" builtinId="8" hidden="1"/>
    <cellStyle name="Hyperlink" xfId="74" builtinId="8" hidden="1"/>
    <cellStyle name="Hyperlink" xfId="234" builtinId="8" hidden="1"/>
    <cellStyle name="Hyperlink" xfId="192" builtinId="8" hidden="1"/>
    <cellStyle name="Hyperlink" xfId="663" builtinId="8" hidden="1"/>
    <cellStyle name="Hyperlink" xfId="12" builtinId="8" hidden="1"/>
    <cellStyle name="Hyperlink" xfId="685" builtinId="8" hidden="1"/>
    <cellStyle name="Hyperlink" xfId="252" builtinId="8" hidden="1"/>
    <cellStyle name="Hyperlink" xfId="629" builtinId="8" hidden="1"/>
    <cellStyle name="Hyperlink" xfId="370" builtinId="8" hidden="1"/>
    <cellStyle name="Hyperlink" xfId="38" builtinId="8" hidden="1"/>
    <cellStyle name="Hyperlink" xfId="645" builtinId="8" hidden="1"/>
    <cellStyle name="Hyperlink" xfId="266" builtinId="8" hidden="1"/>
    <cellStyle name="Hyperlink" xfId="164" builtinId="8" hidden="1"/>
    <cellStyle name="Hyperlink" xfId="637" builtinId="8" hidden="1"/>
    <cellStyle name="Hyperlink" xfId="669" builtinId="8" hidden="1"/>
    <cellStyle name="Hyperlink" xfId="62" builtinId="8" hidden="1"/>
    <cellStyle name="Hyperlink" xfId="174" builtinId="8" hidden="1"/>
    <cellStyle name="Hyperlink" xfId="513" builtinId="8" hidden="1"/>
    <cellStyle name="Hyperlink" xfId="432" builtinId="8" hidden="1"/>
    <cellStyle name="Hyperlink" xfId="724" builtinId="8" hidden="1"/>
    <cellStyle name="Hyperlink" xfId="316" builtinId="8" hidden="1"/>
    <cellStyle name="Hyperlink" xfId="138" builtinId="8" hidden="1"/>
    <cellStyle name="Hyperlink" xfId="260" builtinId="8" hidden="1"/>
    <cellStyle name="Hyperlink" xfId="611" builtinId="8" hidden="1"/>
    <cellStyle name="Hyperlink" xfId="716" builtinId="8" hidden="1"/>
    <cellStyle name="Hyperlink" xfId="549" builtinId="8" hidden="1"/>
    <cellStyle name="Hyperlink" xfId="334" builtinId="8" hidden="1"/>
    <cellStyle name="Hyperlink" xfId="625" builtinId="8" hidden="1"/>
    <cellStyle name="Hyperlink" xfId="488" builtinId="8" hidden="1"/>
    <cellStyle name="Hyperlink" xfId="68" builtinId="8" hidden="1"/>
    <cellStyle name="Hyperlink" xfId="460" builtinId="8" hidden="1"/>
    <cellStyle name="Hyperlink" xfId="288" builtinId="8" hidden="1"/>
    <cellStyle name="Hyperlink" xfId="30" builtinId="8" hidden="1"/>
    <cellStyle name="Hyperlink" xfId="428" builtinId="8" hidden="1"/>
    <cellStyle name="Hyperlink" xfId="693" builtinId="8" hidden="1"/>
    <cellStyle name="Hyperlink" xfId="212" builtinId="8" hidden="1"/>
    <cellStyle name="Hyperlink" xfId="76" builtinId="8" hidden="1"/>
    <cellStyle name="Hyperlink" xfId="72" builtinId="8" hidden="1"/>
    <cellStyle name="Hyperlink" xfId="20" builtinId="8" hidden="1"/>
    <cellStyle name="Hyperlink" xfId="86" builtinId="8" hidden="1"/>
    <cellStyle name="Hyperlink" xfId="264" builtinId="8" hidden="1"/>
    <cellStyle name="Hyperlink" xfId="730" builtinId="8" hidden="1"/>
    <cellStyle name="Hyperlink" xfId="631" builtinId="8" hidden="1"/>
    <cellStyle name="Hyperlink" xfId="408" builtinId="8" hidden="1"/>
    <cellStyle name="Hyperlink" xfId="238" builtinId="8" hidden="1"/>
    <cellStyle name="Hyperlink" xfId="22" builtinId="8" hidden="1"/>
    <cellStyle name="Hyperlink" xfId="16" builtinId="8" hidden="1"/>
    <cellStyle name="Hyperlink" xfId="424" builtinId="8" hidden="1"/>
    <cellStyle name="Hyperlink" xfId="82" builtinId="8" hidden="1"/>
    <cellStyle name="Hyperlink" xfId="418" builtinId="8" hidden="1"/>
    <cellStyle name="Hyperlink" xfId="182" builtinId="8" hidden="1"/>
    <cellStyle name="Hyperlink" xfId="569" builtinId="8" hidden="1"/>
    <cellStyle name="Hyperlink" xfId="312" builtinId="8" hidden="1"/>
    <cellStyle name="Hyperlink" xfId="494" builtinId="8" hidden="1"/>
    <cellStyle name="Hyperlink" xfId="280" builtinId="8" hidden="1"/>
    <cellStyle name="Hyperlink" xfId="490" builtinId="8" hidden="1"/>
    <cellStyle name="Hyperlink" xfId="599" builtinId="8" hidden="1"/>
    <cellStyle name="Hyperlink" xfId="14" builtinId="8" hidden="1"/>
    <cellStyle name="Hyperlink" xfId="484" builtinId="8" hidden="1"/>
    <cellStyle name="Hyperlink" xfId="340" builtinId="8" hidden="1"/>
    <cellStyle name="Hyperlink" xfId="124" builtinId="8" hidden="1"/>
    <cellStyle name="Hyperlink" xfId="220" builtinId="8" hidden="1"/>
    <cellStyle name="Hyperlink" xfId="322" builtinId="8" hidden="1"/>
    <cellStyle name="Hyperlink" xfId="106" builtinId="8" hidden="1"/>
    <cellStyle name="Hyperlink" xfId="446" builtinId="8" hidden="1"/>
    <cellStyle name="Hyperlink" xfId="567" builtinId="8" hidden="1"/>
    <cellStyle name="Hyperlink" xfId="613" builtinId="8" hidden="1"/>
    <cellStyle name="Hyperlink" xfId="708" builtinId="8" hidden="1"/>
    <cellStyle name="Hyperlink" xfId="675" builtinId="8" hidden="1"/>
    <cellStyle name="Hyperlink" xfId="152" builtinId="8" hidden="1"/>
    <cellStyle name="Hyperlink" xfId="498" builtinId="8" hidden="1"/>
    <cellStyle name="Hyperlink" xfId="108" builtinId="8" hidden="1"/>
    <cellStyle name="Hyperlink" xfId="126" builtinId="8" hidden="1"/>
    <cellStyle name="Hyperlink" xfId="529" builtinId="8" hidden="1"/>
    <cellStyle name="Hyperlink" xfId="114" builtinId="8" hidden="1"/>
    <cellStyle name="Hyperlink" xfId="722" builtinId="8" hidden="1"/>
    <cellStyle name="Hyperlink" xfId="56" builtinId="8" hidden="1"/>
    <cellStyle name="Hyperlink" xfId="607" builtinId="8" hidden="1"/>
    <cellStyle name="Hyperlink" xfId="290" builtinId="8" hidden="1"/>
    <cellStyle name="Hyperlink" xfId="188" builtinId="8" hidden="1"/>
    <cellStyle name="Hyperlink" xfId="270" builtinId="8" hidden="1"/>
    <cellStyle name="Hyperlink" xfId="583" builtinId="8" hidden="1"/>
    <cellStyle name="Hyperlink" xfId="146" builtinId="8" hidden="1"/>
    <cellStyle name="Hyperlink" xfId="476" builtinId="8" hidden="1"/>
    <cellStyle name="Hyperlink" xfId="210" builtinId="8" hidden="1"/>
    <cellStyle name="Hyperlink" xfId="336" builtinId="8" hidden="1"/>
    <cellStyle name="Hyperlink" xfId="372" builtinId="8" hidden="1"/>
    <cellStyle name="Hyperlink" xfId="641" builtinId="8" hidden="1"/>
    <cellStyle name="Hyperlink" xfId="661" builtinId="8" hidden="1"/>
    <cellStyle name="Hyperlink" xfId="665" builtinId="8" hidden="1"/>
    <cellStyle name="Hyperlink" xfId="42" builtinId="8" hidden="1"/>
    <cellStyle name="Hyperlink" xfId="456" builtinId="8" hidden="1"/>
    <cellStyle name="Hyperlink" xfId="292" builtinId="8" hidden="1"/>
    <cellStyle name="Hyperlink" xfId="511" builtinId="8" hidden="1"/>
    <cellStyle name="Hyperlink" xfId="92" builtinId="8" hidden="1"/>
    <cellStyle name="Hyperlink" xfId="200" builtinId="8" hidden="1"/>
    <cellStyle name="Hyperlink" xfId="256" builtinId="8" hidden="1"/>
    <cellStyle name="Hyperlink" xfId="136" builtinId="8" hidden="1"/>
    <cellStyle name="Hyperlink" xfId="326" builtinId="8" hidden="1"/>
    <cellStyle name="Hyperlink" xfId="444" builtinId="8" hidden="1"/>
    <cellStyle name="Hyperlink" xfId="527" builtinId="8" hidden="1"/>
    <cellStyle name="Hyperlink" xfId="232" builtinId="8" hidden="1"/>
    <cellStyle name="Hyperlink" xfId="718" builtinId="8" hidden="1"/>
    <cellStyle name="Hyperlink" xfId="553" builtinId="8" hidden="1"/>
    <cellStyle name="Hyperlink" xfId="254" builtinId="8" hidden="1"/>
    <cellStyle name="Hyperlink" xfId="541" builtinId="8" hidden="1"/>
    <cellStyle name="Hyperlink" xfId="354" builtinId="8" hidden="1"/>
    <cellStyle name="Hyperlink" xfId="478" builtinId="8" hidden="1"/>
    <cellStyle name="Hyperlink" xfId="509" builtinId="8" hidden="1"/>
    <cellStyle name="Hyperlink" xfId="344" builtinId="8" hidden="1"/>
    <cellStyle name="Hyperlink" xfId="507" builtinId="8" hidden="1"/>
    <cellStyle name="Hyperlink" xfId="394" builtinId="8" hidden="1"/>
    <cellStyle name="Hyperlink" xfId="430" builtinId="8" hidden="1"/>
    <cellStyle name="Hyperlink" xfId="244" builtinId="8" hidden="1"/>
    <cellStyle name="Hyperlink" xfId="559" builtinId="8" hidden="1"/>
    <cellStyle name="Hyperlink" xfId="691" builtinId="8" hidden="1"/>
    <cellStyle name="Hyperlink" xfId="148" builtinId="8" hidden="1"/>
    <cellStyle name="Hyperlink" xfId="704" builtinId="8" hidden="1"/>
    <cellStyle name="Hyperlink" xfId="706" builtinId="8" hidden="1"/>
    <cellStyle name="Hyperlink" xfId="416" builtinId="8" hidden="1"/>
    <cellStyle name="Hyperlink" xfId="240" builtinId="8" hidden="1"/>
    <cellStyle name="Hyperlink" xfId="98" builtinId="8" hidden="1"/>
    <cellStyle name="Hyperlink" xfId="436" builtinId="8" hidden="1"/>
    <cellStyle name="Hyperlink" xfId="392" builtinId="8" hidden="1"/>
    <cellStyle name="Hyperlink" xfId="100" builtinId="8" hidden="1"/>
    <cellStyle name="Hyperlink" xfId="595" builtinId="8" hidden="1"/>
    <cellStyle name="Hyperlink" xfId="378" builtinId="8" hidden="1"/>
    <cellStyle name="Hyperlink" xfId="274" builtinId="8" hidden="1"/>
    <cellStyle name="Hyperlink" xfId="454" builtinId="8" hidden="1"/>
    <cellStyle name="Hyperlink" xfId="314" builtinId="8" hidden="1"/>
    <cellStyle name="Hyperlink" xfId="154" builtinId="8" hidden="1"/>
    <cellStyle name="Hyperlink" xfId="362" builtinId="8" hidden="1"/>
    <cellStyle name="Hyperlink" xfId="208" builtinId="8" hidden="1"/>
    <cellStyle name="Hyperlink" xfId="410" builtinId="8" hidden="1"/>
    <cellStyle name="Hyperlink" xfId="619" builtinId="8" hidden="1"/>
    <cellStyle name="Hyperlink" xfId="442" builtinId="8" hidden="1"/>
    <cellStyle name="Hyperlink" xfId="593" builtinId="8" hidden="1"/>
    <cellStyle name="Hyperlink" xfId="388" builtinId="8" hidden="1"/>
    <cellStyle name="Hyperlink" xfId="736" builtinId="8" hidden="1"/>
    <cellStyle name="Hyperlink" xfId="224" builtinId="8" hidden="1"/>
    <cellStyle name="Hyperlink" xfId="623" builtinId="8" hidden="1"/>
    <cellStyle name="Hyperlink" xfId="448" builtinId="8" hidden="1"/>
    <cellStyle name="Hyperlink" xfId="555" builtinId="8" hidden="1"/>
    <cellStyle name="Hyperlink" xfId="180" builtinId="8" hidden="1"/>
    <cellStyle name="Hyperlink" xfId="414" builtinId="8" hidden="1"/>
    <cellStyle name="Hyperlink" xfId="36" builtinId="8" hidden="1"/>
    <cellStyle name="Hyperlink" xfId="376" builtinId="8" hidden="1"/>
    <cellStyle name="Hyperlink" xfId="34" builtinId="8" hidden="1"/>
    <cellStyle name="Hyperlink" xfId="366" builtinId="8" hidden="1"/>
    <cellStyle name="Hyperlink" xfId="300" builtinId="8" hidden="1"/>
    <cellStyle name="Hyperlink" xfId="615" builtinId="8" hidden="1"/>
    <cellStyle name="Hyperlink" xfId="496" builtinId="8" hidden="1"/>
    <cellStyle name="Hyperlink" xfId="50" builtinId="8" hidden="1"/>
    <cellStyle name="Hyperlink" xfId="310" builtinId="8" hidden="1"/>
    <cellStyle name="Hyperlink" xfId="515" builtinId="8" hidden="1"/>
    <cellStyle name="Hyperlink" xfId="521" builtinId="8" hidden="1"/>
    <cellStyle name="Hyperlink" xfId="246" builtinId="8" hidden="1"/>
    <cellStyle name="Hyperlink" xfId="402" builtinId="8" hidden="1"/>
    <cellStyle name="Hyperlink" xfId="162" builtinId="8" hidden="1"/>
    <cellStyle name="Hyperlink" xfId="70" builtinId="8" hidden="1"/>
    <cellStyle name="Hyperlink" xfId="565" builtinId="8" hidden="1"/>
    <cellStyle name="Hyperlink" xfId="24" builtinId="8" hidden="1"/>
    <cellStyle name="Hyperlink" xfId="695" builtinId="8" hidden="1"/>
    <cellStyle name="Hyperlink" xfId="330" builtinId="8" hidden="1"/>
    <cellStyle name="Hyperlink" xfId="250" builtinId="8" hidden="1"/>
    <cellStyle name="Hyperlink" xfId="400" builtinId="8" hidden="1"/>
    <cellStyle name="Hyperlink" xfId="480" builtinId="8" hidden="1"/>
    <cellStyle name="Hyperlink" xfId="116" builtinId="8" hidden="1"/>
    <cellStyle name="Hyperlink" xfId="380" builtinId="8" hidden="1"/>
    <cellStyle name="Hyperlink" xfId="186" builtinId="8" hidden="1"/>
    <cellStyle name="Hyperlink" xfId="118" builtinId="8" hidden="1"/>
    <cellStyle name="Hyperlink" xfId="44" builtinId="8" hidden="1"/>
    <cellStyle name="Hyperlink" xfId="78" builtinId="8" hidden="1"/>
    <cellStyle name="Hyperlink" xfId="58" builtinId="8" hidden="1"/>
    <cellStyle name="Hyperlink" xfId="591" builtinId="8" hidden="1"/>
    <cellStyle name="Hyperlink" xfId="242" builtinId="8" hidden="1"/>
    <cellStyle name="Hyperlink" xfId="268" builtinId="8" hidden="1"/>
    <cellStyle name="Hyperlink" xfId="531" builtinId="8" hidden="1"/>
    <cellStyle name="Hyperlink" xfId="298" builtinId="8" hidden="1"/>
    <cellStyle name="Hyperlink" xfId="348" builtinId="8" hidden="1"/>
    <cellStyle name="Hyperlink" xfId="503" builtinId="8" hidden="1"/>
    <cellStyle name="Hyperlink" xfId="262" builtinId="8" hidden="1"/>
    <cellStyle name="Hyperlink" xfId="639" builtinId="8" hidden="1"/>
    <cellStyle name="Hyperlink" xfId="657" builtinId="8" hidden="1"/>
    <cellStyle name="Hyperlink" xfId="194" builtinId="8" hidden="1"/>
    <cellStyle name="Hyperlink" xfId="80" builtinId="8" hidden="1"/>
    <cellStyle name="Hyperlink" xfId="26" builtinId="8" hidden="1"/>
    <cellStyle name="Hyperlink" xfId="214" builtinId="8" hidden="1"/>
    <cellStyle name="Hyperlink" xfId="647" builtinId="8" hidden="1"/>
    <cellStyle name="Hyperlink" xfId="575" builtinId="8" hidden="1"/>
    <cellStyle name="Hyperlink" xfId="142" builtinId="8" hidden="1"/>
    <cellStyle name="Hyperlink" xfId="272" builtinId="8" hidden="1"/>
    <cellStyle name="Hyperlink" xfId="627" builtinId="8" hidden="1"/>
    <cellStyle name="Hyperlink" xfId="671" builtinId="8" hidden="1"/>
    <cellStyle name="Hyperlink" xfId="404" builtinId="8" hidden="1"/>
    <cellStyle name="Hyperlink" xfId="382" builtinId="8" hidden="1"/>
    <cellStyle name="Hyperlink" xfId="328" builtinId="8" hidden="1"/>
    <cellStyle name="Hyperlink" xfId="364" builtinId="8" hidden="1"/>
    <cellStyle name="Hyperlink" xfId="130" builtinId="8" hidden="1"/>
    <cellStyle name="Hyperlink" xfId="482" builtinId="8" hidden="1"/>
    <cellStyle name="Hyperlink" xfId="156" builtinId="8" hidden="1"/>
    <cellStyle name="Hyperlink" xfId="472" builtinId="8" hidden="1"/>
    <cellStyle name="Hyperlink" xfId="120" builtinId="8" hidden="1"/>
    <cellStyle name="Hyperlink" xfId="701" builtinId="8" hidden="1"/>
    <cellStyle name="Hyperlink" xfId="609" builtinId="8" hidden="1"/>
    <cellStyle name="Hyperlink" xfId="386" builtinId="8" hidden="1"/>
    <cellStyle name="Hyperlink" xfId="342" builtinId="8" hidden="1"/>
    <cellStyle name="Hyperlink" xfId="561" builtinId="8" hidden="1"/>
    <cellStyle name="Hyperlink" xfId="551" builtinId="8" hidden="1"/>
    <cellStyle name="Hyperlink" xfId="170" builtinId="8" hidden="1"/>
    <cellStyle name="Hyperlink" xfId="470" builtinId="8" hidden="1"/>
    <cellStyle name="Hyperlink" xfId="338" builtinId="8" hidden="1"/>
    <cellStyle name="Hyperlink" xfId="302" builtinId="8" hidden="1"/>
    <cellStyle name="Hyperlink" xfId="356" builtinId="8" hidden="1"/>
    <cellStyle name="Hyperlink" xfId="350" builtinId="8" hidden="1"/>
    <cellStyle name="Hyperlink" xfId="605" builtinId="8" hidden="1"/>
    <cellStyle name="Hyperlink" xfId="420" builtinId="8" hidden="1"/>
    <cellStyle name="Hyperlink" xfId="112" builtinId="8" hidden="1"/>
    <cellStyle name="Hyperlink" xfId="617" builtinId="8" hidden="1"/>
    <cellStyle name="Hyperlink" xfId="204" builtinId="8" hidden="1"/>
    <cellStyle name="Hyperlink" xfId="96" builtinId="8" hidden="1"/>
    <cellStyle name="Hyperlink" xfId="697" builtinId="8" hidden="1"/>
    <cellStyle name="Hyperlink" xfId="166" builtinId="8" hidden="1"/>
    <cellStyle name="Hyperlink" xfId="122" builtinId="8" hidden="1"/>
    <cellStyle name="Hyperlink" xfId="519" builtinId="8" hidden="1"/>
    <cellStyle name="Hyperlink" xfId="587" builtinId="8" hidden="1"/>
    <cellStyle name="Hyperlink" xfId="190" builtinId="8" hidden="1"/>
    <cellStyle name="Hyperlink" xfId="160" builtinId="8" hidden="1"/>
    <cellStyle name="Hyperlink" xfId="492" builtinId="8" hidden="1"/>
    <cellStyle name="Hyperlink" xfId="633" builtinId="8" hidden="1"/>
    <cellStyle name="Hyperlink" xfId="104" builtinId="8" hidden="1"/>
    <cellStyle name="Hyperlink" xfId="304" builtinId="8" hidden="1"/>
    <cellStyle name="Hyperlink" xfId="110" builtinId="8" hidden="1"/>
    <cellStyle name="Hyperlink" xfId="406" builtinId="8" hidden="1"/>
    <cellStyle name="Hyperlink" xfId="324" builtinId="8" hidden="1"/>
    <cellStyle name="Hyperlink" xfId="374" builtinId="8" hidden="1"/>
    <cellStyle name="Hyperlink" xfId="282" builtinId="8" hidden="1"/>
    <cellStyle name="Hyperlink" xfId="236" builtinId="8" hidden="1"/>
    <cellStyle name="Hyperlink" xfId="332" builtinId="8" hidden="1"/>
    <cellStyle name="Hyperlink" xfId="517" builtinId="8" hidden="1"/>
    <cellStyle name="Hyperlink" xfId="486" builtinId="8" hidden="1"/>
    <cellStyle name="Hyperlink" xfId="40" builtinId="8" hidden="1"/>
    <cellStyle name="Hyperlink" xfId="728" builtinId="8" hidden="1"/>
    <cellStyle name="Hyperlink" xfId="543" builtinId="8" hidden="1"/>
    <cellStyle name="Hyperlink" xfId="226" builtinId="8" hidden="1"/>
    <cellStyle name="Hyperlink" xfId="248" builtinId="8" hidden="1"/>
    <cellStyle name="Hyperlink" xfId="533" builtinId="8" hidden="1"/>
    <cellStyle name="Hyperlink" xfId="60" builtinId="8" hidden="1"/>
    <cellStyle name="Hyperlink" xfId="202" builtinId="8" hidden="1"/>
    <cellStyle name="Hyperlink" xfId="90" builtinId="8" hidden="1"/>
    <cellStyle name="Hyperlink" xfId="294" builtinId="8" hidden="1"/>
    <cellStyle name="Hyperlink" xfId="585" builtinId="8" hidden="1"/>
    <cellStyle name="Hyperlink" xfId="158" builtinId="8" hidden="1"/>
    <cellStyle name="Hyperlink" xfId="222" builtinId="8" hidden="1"/>
    <cellStyle name="Hyperlink" xfId="48" builtinId="8" hidden="1"/>
    <cellStyle name="Hyperlink" xfId="230" builtinId="8" hidden="1"/>
    <cellStyle name="Hyperlink" xfId="318" builtinId="8" hidden="1"/>
    <cellStyle name="Hyperlink" xfId="464" builtinId="8" hidden="1"/>
    <cellStyle name="Hyperlink" xfId="452" builtinId="8" hidden="1"/>
    <cellStyle name="Hyperlink" xfId="412" builtinId="8" hidden="1"/>
    <cellStyle name="Hyperlink" xfId="168" builtinId="8" hidden="1"/>
    <cellStyle name="Hyperlink" xfId="689" builtinId="8" hidden="1"/>
    <cellStyle name="Hyperlink" xfId="308" builtinId="8" hidden="1"/>
    <cellStyle name="Hyperlink" xfId="677" builtinId="8" hidden="1"/>
    <cellStyle name="Hyperlink" xfId="523" builtinId="8" hidden="1"/>
    <cellStyle name="Hyperlink" xfId="368" builtinId="8" hidden="1"/>
    <cellStyle name="Hyperlink" xfId="178" builtinId="8" hidden="1"/>
    <cellStyle name="Hyperlink" xfId="102" builtinId="8" hidden="1"/>
    <cellStyle name="Hyperlink" xfId="673" builtinId="8" hidden="1"/>
    <cellStyle name="Hyperlink" xfId="46" builtinId="8" hidden="1"/>
    <cellStyle name="Hyperlink" xfId="196" builtinId="8" hidden="1"/>
    <cellStyle name="Hyperlink" xfId="176" builtinId="8" hidden="1"/>
    <cellStyle name="Hyperlink" xfId="539" builtinId="8" hidden="1"/>
    <cellStyle name="Hyperlink" xfId="352" builtinId="8" hidden="1"/>
    <cellStyle name="Hyperlink" xfId="88" builtinId="8" hidden="1"/>
    <cellStyle name="Hyperlink" xfId="651" builtinId="8" hidden="1"/>
    <cellStyle name="Hyperlink" xfId="726" builtinId="8" hidden="1"/>
    <cellStyle name="Hyperlink" xfId="144" builtinId="8" hidden="1"/>
    <cellStyle name="Hyperlink" xfId="284" builtinId="8" hidden="1"/>
    <cellStyle name="Hyperlink" xfId="505" builtinId="8" hidden="1"/>
    <cellStyle name="Hyperlink" xfId="128" builtinId="8" hidden="1"/>
    <cellStyle name="Hyperlink" xfId="683" builtinId="8" hidden="1"/>
    <cellStyle name="Hyperlink" xfId="434" builtinId="8" hidden="1"/>
    <cellStyle name="Hyperlink" xfId="468" builtinId="8" hidden="1"/>
    <cellStyle name="Hyperlink" xfId="18" builtinId="8" hidden="1"/>
    <cellStyle name="Hyperlink" xfId="286" builtinId="8" hidden="1"/>
    <cellStyle name="Hyperlink" xfId="577" builtinId="8" hidden="1"/>
    <cellStyle name="Hyperlink" xfId="184" builtinId="8" hidden="1"/>
    <cellStyle name="Hyperlink" xfId="579" builtinId="8" hidden="1"/>
    <cellStyle name="Hyperlink" xfId="601" builtinId="8" hidden="1"/>
    <cellStyle name="Hyperlink" xfId="28" builtinId="8" hidden="1"/>
    <cellStyle name="Hyperlink" xfId="474" builtinId="8" hidden="1"/>
    <cellStyle name="Hyperlink" xfId="228" builtinId="8" hidden="1"/>
    <cellStyle name="Hyperlink" xfId="563" builtinId="8" hidden="1"/>
    <cellStyle name="Hyperlink" xfId="396" builtinId="8" hidden="1"/>
    <cellStyle name="Hyperlink" xfId="571" builtinId="8" hidden="1"/>
    <cellStyle name="Hyperlink" xfId="720" builtinId="8" hidden="1"/>
    <cellStyle name="Hyperlink" xfId="390" builtinId="8" hidden="1"/>
    <cellStyle name="Hyperlink" xfId="635" builtinId="8" hidden="1"/>
    <cellStyle name="Hyperlink" xfId="132" builtinId="8" hidden="1"/>
    <cellStyle name="Hyperlink" xfId="450" builtinId="8" hidden="1"/>
    <cellStyle name="Hyperlink" xfId="84" builtinId="8" hidden="1"/>
    <cellStyle name="Hyperlink" xfId="140" builtinId="8" hidden="1"/>
    <cellStyle name="Hyperlink" xfId="500" builtinId="8" hidden="1"/>
    <cellStyle name="Hyperlink" xfId="653" builtinId="8" hidden="1"/>
    <cellStyle name="Hyperlink" xfId="525" builtinId="8" hidden="1"/>
    <cellStyle name="Hyperlink" xfId="320" builtinId="8" hidden="1"/>
    <cellStyle name="Hyperlink" xfId="384" builtinId="8" hidden="1"/>
    <cellStyle name="Hyperlink" xfId="573" builtinId="8" hidden="1"/>
    <cellStyle name="Hyperlink" xfId="537" builtinId="8" hidden="1"/>
    <cellStyle name="Hyperlink" xfId="458" builtinId="8" hidden="1"/>
    <cellStyle name="Hyperlink" xfId="426" builtinId="8" hidden="1"/>
    <cellStyle name="Hyperlink" xfId="206" builtinId="8" hidden="1"/>
    <cellStyle name="Hyperlink" xfId="198" builtinId="8" hidden="1"/>
    <cellStyle name="Hyperlink" xfId="398" builtinId="8" hidden="1"/>
    <cellStyle name="Hyperlink" xfId="734" builtinId="8" hidden="1"/>
    <cellStyle name="Hyperlink" xfId="52" builtinId="8" hidden="1"/>
    <cellStyle name="Hyperlink" xfId="306" builtinId="8" hidden="1"/>
    <cellStyle name="Hyperlink" xfId="258" builtinId="8" hidden="1"/>
    <cellStyle name="Hyperlink" xfId="649" builtinId="8" hidden="1"/>
    <cellStyle name="Hyperlink" xfId="296" builtinId="8" hidden="1"/>
    <cellStyle name="Hyperlink" xfId="603" builtinId="8" hidden="1"/>
    <cellStyle name="Hyperlink" xfId="681" builtinId="8" hidden="1"/>
    <cellStyle name="Hyperlink" xfId="712" builtinId="8" hidden="1"/>
    <cellStyle name="Hyperlink" xfId="643" builtinId="8" hidden="1"/>
    <cellStyle name="Hyperlink" xfId="94" builtinId="8" hidden="1"/>
    <cellStyle name="Hyperlink" xfId="545" builtinId="8" hidden="1"/>
    <cellStyle name="Hyperlink" xfId="655" builtinId="8" hidden="1"/>
    <cellStyle name="Hyperlink" xfId="422" builtinId="8" hidden="1"/>
    <cellStyle name="Hyperlink" xfId="597" builtinId="8" hidden="1"/>
    <cellStyle name="Hyperlink" xfId="732" builtinId="8" hidden="1"/>
    <cellStyle name="Hyperlink" xfId="216" builtinId="8" hidden="1"/>
    <cellStyle name="Hyperlink" xfId="547" builtinId="8" hidden="1"/>
    <cellStyle name="Hyperlink" xfId="278" builtinId="8" hidden="1"/>
    <cellStyle name="Hyperlink" xfId="659"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Normal" xfId="0" builtinId="0"/>
    <cellStyle name="Normal 2" xfId="1"/>
    <cellStyle name="Normal 2 2" xfId="440"/>
    <cellStyle name="Normal 3" xfId="2"/>
    <cellStyle name="Normal 4" xfId="6"/>
    <cellStyle name="Normal 5" xfId="9"/>
    <cellStyle name="Normal 6" xfId="10"/>
    <cellStyle name="Normal 7" xfId="438"/>
    <cellStyle name="Normal_2008 Outdoor Coach Stocking Matrix" xfId="7"/>
    <cellStyle name="Percent" xfId="5" builtinId="5"/>
  </cellStyles>
  <dxfs count="8">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Medium4"/>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externalLink" Target="externalLinks/externalLink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6" Type="http://schemas.openxmlformats.org/officeDocument/2006/relationships/customXml" Target="../customXml/item1.xml"/><Relationship Id="rId17" Type="http://schemas.openxmlformats.org/officeDocument/2006/relationships/customXml" Target="../customXml/item2.xml"/><Relationship Id="rId18"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jpeg"/><Relationship Id="rId66" Type="http://schemas.openxmlformats.org/officeDocument/2006/relationships/image" Target="../media/image66.jpe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jpeg"/><Relationship Id="rId120" Type="http://schemas.openxmlformats.org/officeDocument/2006/relationships/image" Target="../media/image120.jpeg"/><Relationship Id="rId121" Type="http://schemas.openxmlformats.org/officeDocument/2006/relationships/image" Target="../media/image121.png"/><Relationship Id="rId122" Type="http://schemas.microsoft.com/office/2007/relationships/hdphoto" Target="../media/hdphoto1.wdp"/><Relationship Id="rId123" Type="http://schemas.openxmlformats.org/officeDocument/2006/relationships/image" Target="../media/image122.png"/><Relationship Id="rId124" Type="http://schemas.microsoft.com/office/2007/relationships/hdphoto" Target="../media/hdphoto2.wdp"/><Relationship Id="rId125" Type="http://schemas.openxmlformats.org/officeDocument/2006/relationships/image" Target="../media/image123.png"/><Relationship Id="rId126" Type="http://schemas.microsoft.com/office/2007/relationships/hdphoto" Target="../media/hdphoto3.wdp"/><Relationship Id="rId127" Type="http://schemas.openxmlformats.org/officeDocument/2006/relationships/image" Target="../media/image124.png"/><Relationship Id="rId128" Type="http://schemas.microsoft.com/office/2007/relationships/hdphoto" Target="../media/hdphoto4.wdp"/><Relationship Id="rId129" Type="http://schemas.openxmlformats.org/officeDocument/2006/relationships/image" Target="../media/image125.pn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90" Type="http://schemas.openxmlformats.org/officeDocument/2006/relationships/image" Target="../media/image90.jpeg"/><Relationship Id="rId91" Type="http://schemas.openxmlformats.org/officeDocument/2006/relationships/image" Target="../media/image91.jpeg"/><Relationship Id="rId92" Type="http://schemas.openxmlformats.org/officeDocument/2006/relationships/image" Target="../media/image92.jpeg"/><Relationship Id="rId93" Type="http://schemas.openxmlformats.org/officeDocument/2006/relationships/image" Target="../media/image93.jpeg"/><Relationship Id="rId94" Type="http://schemas.openxmlformats.org/officeDocument/2006/relationships/image" Target="../media/image94.jpeg"/><Relationship Id="rId95" Type="http://schemas.openxmlformats.org/officeDocument/2006/relationships/image" Target="../media/image95.jpeg"/><Relationship Id="rId96" Type="http://schemas.openxmlformats.org/officeDocument/2006/relationships/image" Target="../media/image96.jpeg"/><Relationship Id="rId101" Type="http://schemas.openxmlformats.org/officeDocument/2006/relationships/image" Target="../media/image101.jpeg"/><Relationship Id="rId102" Type="http://schemas.openxmlformats.org/officeDocument/2006/relationships/image" Target="../media/image102.jpeg"/><Relationship Id="rId103" Type="http://schemas.openxmlformats.org/officeDocument/2006/relationships/image" Target="../media/image103.jpeg"/><Relationship Id="rId104" Type="http://schemas.openxmlformats.org/officeDocument/2006/relationships/image" Target="../media/image104.jpeg"/><Relationship Id="rId105" Type="http://schemas.openxmlformats.org/officeDocument/2006/relationships/image" Target="../media/image105.jpeg"/><Relationship Id="rId106" Type="http://schemas.openxmlformats.org/officeDocument/2006/relationships/image" Target="../media/image106.jpeg"/><Relationship Id="rId107" Type="http://schemas.openxmlformats.org/officeDocument/2006/relationships/image" Target="../media/image107.jpeg"/><Relationship Id="rId108" Type="http://schemas.openxmlformats.org/officeDocument/2006/relationships/image" Target="../media/image108.jpeg"/><Relationship Id="rId109" Type="http://schemas.openxmlformats.org/officeDocument/2006/relationships/image" Target="../media/image109.jpeg"/><Relationship Id="rId97" Type="http://schemas.openxmlformats.org/officeDocument/2006/relationships/image" Target="../media/image97.jpeg"/><Relationship Id="rId98" Type="http://schemas.openxmlformats.org/officeDocument/2006/relationships/image" Target="../media/image98.jpeg"/><Relationship Id="rId99" Type="http://schemas.openxmlformats.org/officeDocument/2006/relationships/image" Target="../media/image99.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100" Type="http://schemas.openxmlformats.org/officeDocument/2006/relationships/image" Target="../media/image100.jpeg"/><Relationship Id="rId150" Type="http://schemas.openxmlformats.org/officeDocument/2006/relationships/image" Target="../media/image138.jpeg"/><Relationship Id="rId151" Type="http://schemas.openxmlformats.org/officeDocument/2006/relationships/image" Target="../media/image139.jpeg"/><Relationship Id="rId152" Type="http://schemas.openxmlformats.org/officeDocument/2006/relationships/image" Target="../media/image140.pn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jpe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130" Type="http://schemas.microsoft.com/office/2007/relationships/hdphoto" Target="../media/hdphoto5.wdp"/><Relationship Id="rId131" Type="http://schemas.openxmlformats.org/officeDocument/2006/relationships/image" Target="../media/image126.png"/><Relationship Id="rId132" Type="http://schemas.microsoft.com/office/2007/relationships/hdphoto" Target="../media/hdphoto6.wdp"/><Relationship Id="rId133" Type="http://schemas.openxmlformats.org/officeDocument/2006/relationships/image" Target="../media/image127.png"/><Relationship Id="rId134" Type="http://schemas.microsoft.com/office/2007/relationships/hdphoto" Target="../media/hdphoto7.wdp"/><Relationship Id="rId135" Type="http://schemas.openxmlformats.org/officeDocument/2006/relationships/image" Target="../media/image128.png"/><Relationship Id="rId136" Type="http://schemas.microsoft.com/office/2007/relationships/hdphoto" Target="../media/hdphoto8.wdp"/><Relationship Id="rId137" Type="http://schemas.openxmlformats.org/officeDocument/2006/relationships/image" Target="../media/image129.png"/><Relationship Id="rId138" Type="http://schemas.microsoft.com/office/2007/relationships/hdphoto" Target="../media/hdphoto9.wdp"/><Relationship Id="rId139" Type="http://schemas.openxmlformats.org/officeDocument/2006/relationships/image" Target="../media/image130.pn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pn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110" Type="http://schemas.openxmlformats.org/officeDocument/2006/relationships/image" Target="../media/image110.jpeg"/><Relationship Id="rId111" Type="http://schemas.openxmlformats.org/officeDocument/2006/relationships/image" Target="../media/image111.jpeg"/><Relationship Id="rId112" Type="http://schemas.openxmlformats.org/officeDocument/2006/relationships/image" Target="../media/image112.jpeg"/><Relationship Id="rId113" Type="http://schemas.openxmlformats.org/officeDocument/2006/relationships/image" Target="../media/image113.jpeg"/><Relationship Id="rId114" Type="http://schemas.openxmlformats.org/officeDocument/2006/relationships/image" Target="../media/image114.jpeg"/><Relationship Id="rId115" Type="http://schemas.openxmlformats.org/officeDocument/2006/relationships/image" Target="../media/image115.jpeg"/><Relationship Id="rId116" Type="http://schemas.openxmlformats.org/officeDocument/2006/relationships/image" Target="../media/image116.jpeg"/><Relationship Id="rId117" Type="http://schemas.openxmlformats.org/officeDocument/2006/relationships/image" Target="../media/image117.jpeg"/><Relationship Id="rId118" Type="http://schemas.openxmlformats.org/officeDocument/2006/relationships/image" Target="../media/image118.jpeg"/><Relationship Id="rId119" Type="http://schemas.openxmlformats.org/officeDocument/2006/relationships/image" Target="../media/image119.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jpe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5.jpeg"/><Relationship Id="rId86" Type="http://schemas.openxmlformats.org/officeDocument/2006/relationships/image" Target="../media/image86.jpeg"/><Relationship Id="rId87" Type="http://schemas.openxmlformats.org/officeDocument/2006/relationships/image" Target="../media/image87.jpeg"/><Relationship Id="rId88" Type="http://schemas.openxmlformats.org/officeDocument/2006/relationships/image" Target="../media/image88.jpeg"/><Relationship Id="rId89" Type="http://schemas.openxmlformats.org/officeDocument/2006/relationships/image" Target="../media/image89.jpeg"/><Relationship Id="rId140" Type="http://schemas.microsoft.com/office/2007/relationships/hdphoto" Target="../media/hdphoto10.wdp"/><Relationship Id="rId141" Type="http://schemas.openxmlformats.org/officeDocument/2006/relationships/image" Target="../media/image131.png"/><Relationship Id="rId142" Type="http://schemas.microsoft.com/office/2007/relationships/hdphoto" Target="../media/hdphoto11.wdp"/><Relationship Id="rId143" Type="http://schemas.openxmlformats.org/officeDocument/2006/relationships/image" Target="../media/image132.png"/><Relationship Id="rId144" Type="http://schemas.microsoft.com/office/2007/relationships/hdphoto" Target="../media/hdphoto12.wdp"/><Relationship Id="rId145" Type="http://schemas.openxmlformats.org/officeDocument/2006/relationships/image" Target="../media/image133.emf"/><Relationship Id="rId146" Type="http://schemas.openxmlformats.org/officeDocument/2006/relationships/image" Target="../media/image134.jpeg"/><Relationship Id="rId147" Type="http://schemas.openxmlformats.org/officeDocument/2006/relationships/image" Target="../media/image135.jpeg"/><Relationship Id="rId148" Type="http://schemas.openxmlformats.org/officeDocument/2006/relationships/image" Target="../media/image136.jpeg"/><Relationship Id="rId149" Type="http://schemas.openxmlformats.org/officeDocument/2006/relationships/image" Target="../media/image13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1.jpeg"/></Relationships>
</file>

<file path=xl/drawings/drawing1.xml><?xml version="1.0" encoding="utf-8"?>
<xdr:wsDr xmlns:xdr="http://schemas.openxmlformats.org/drawingml/2006/spreadsheetDrawing" xmlns:a="http://schemas.openxmlformats.org/drawingml/2006/main">
  <xdr:oneCellAnchor>
    <xdr:from>
      <xdr:col>8</xdr:col>
      <xdr:colOff>275166</xdr:colOff>
      <xdr:row>104</xdr:row>
      <xdr:rowOff>63500</xdr:rowOff>
    </xdr:from>
    <xdr:ext cx="326629" cy="520510"/>
    <xdr:pic>
      <xdr:nvPicPr>
        <xdr:cNvPr id="2" name="Picture 1">
          <a:extLst>
            <a:ext uri="{FF2B5EF4-FFF2-40B4-BE49-F238E27FC236}">
              <a16:creationId xmlns="" xmlns:a16="http://schemas.microsoft.com/office/drawing/2014/main" id="{D964C9E8-75EE-447B-A6EB-CD34C3B78F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29" t="6059" r="21470" b="6294"/>
        <a:stretch/>
      </xdr:blipFill>
      <xdr:spPr>
        <a:xfrm>
          <a:off x="7723716" y="65500250"/>
          <a:ext cx="326629" cy="520510"/>
        </a:xfrm>
        <a:prstGeom prst="rect">
          <a:avLst/>
        </a:prstGeom>
      </xdr:spPr>
    </xdr:pic>
    <xdr:clientData/>
  </xdr:oneCellAnchor>
  <xdr:oneCellAnchor>
    <xdr:from>
      <xdr:col>8</xdr:col>
      <xdr:colOff>148164</xdr:colOff>
      <xdr:row>16</xdr:row>
      <xdr:rowOff>44864</xdr:rowOff>
    </xdr:from>
    <xdr:ext cx="550333" cy="558386"/>
    <xdr:pic>
      <xdr:nvPicPr>
        <xdr:cNvPr id="3" name="Picture 2">
          <a:extLst>
            <a:ext uri="{FF2B5EF4-FFF2-40B4-BE49-F238E27FC236}">
              <a16:creationId xmlns="" xmlns:a16="http://schemas.microsoft.com/office/drawing/2014/main" id="{88BA32EA-6EAB-4482-B755-24D0814E57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8" t="9010" r="6263" b="6949"/>
        <a:stretch/>
      </xdr:blipFill>
      <xdr:spPr>
        <a:xfrm>
          <a:off x="7596714" y="10160414"/>
          <a:ext cx="550333" cy="558386"/>
        </a:xfrm>
        <a:prstGeom prst="rect">
          <a:avLst/>
        </a:prstGeom>
      </xdr:spPr>
    </xdr:pic>
    <xdr:clientData/>
  </xdr:oneCellAnchor>
  <xdr:oneCellAnchor>
    <xdr:from>
      <xdr:col>8</xdr:col>
      <xdr:colOff>126999</xdr:colOff>
      <xdr:row>79</xdr:row>
      <xdr:rowOff>95251</xdr:rowOff>
    </xdr:from>
    <xdr:ext cx="585139" cy="465667"/>
    <xdr:pic>
      <xdr:nvPicPr>
        <xdr:cNvPr id="4" name="Picture 3">
          <a:extLst>
            <a:ext uri="{FF2B5EF4-FFF2-40B4-BE49-F238E27FC236}">
              <a16:creationId xmlns="" xmlns:a16="http://schemas.microsoft.com/office/drawing/2014/main" id="{E8284088-0699-4184-95FE-A229C4A0FD9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128" t="20257" r="5836" b="9682"/>
        <a:stretch/>
      </xdr:blipFill>
      <xdr:spPr>
        <a:xfrm>
          <a:off x="7575549" y="49815751"/>
          <a:ext cx="585139" cy="465667"/>
        </a:xfrm>
        <a:prstGeom prst="rect">
          <a:avLst/>
        </a:prstGeom>
      </xdr:spPr>
    </xdr:pic>
    <xdr:clientData/>
  </xdr:oneCellAnchor>
  <xdr:oneCellAnchor>
    <xdr:from>
      <xdr:col>8</xdr:col>
      <xdr:colOff>137581</xdr:colOff>
      <xdr:row>138</xdr:row>
      <xdr:rowOff>74083</xdr:rowOff>
    </xdr:from>
    <xdr:ext cx="565548" cy="476251"/>
    <xdr:pic>
      <xdr:nvPicPr>
        <xdr:cNvPr id="5" name="Picture 4">
          <a:extLst>
            <a:ext uri="{FF2B5EF4-FFF2-40B4-BE49-F238E27FC236}">
              <a16:creationId xmlns="" xmlns:a16="http://schemas.microsoft.com/office/drawing/2014/main" id="{4DBF7EE0-ECBA-47F0-9F89-AFF11952CB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974" t="15115" r="4646" b="12985"/>
        <a:stretch/>
      </xdr:blipFill>
      <xdr:spPr>
        <a:xfrm>
          <a:off x="7586131" y="86884933"/>
          <a:ext cx="565548" cy="476251"/>
        </a:xfrm>
        <a:prstGeom prst="rect">
          <a:avLst/>
        </a:prstGeom>
      </xdr:spPr>
    </xdr:pic>
    <xdr:clientData/>
  </xdr:oneCellAnchor>
  <xdr:oneCellAnchor>
    <xdr:from>
      <xdr:col>8</xdr:col>
      <xdr:colOff>243416</xdr:colOff>
      <xdr:row>81</xdr:row>
      <xdr:rowOff>63500</xdr:rowOff>
    </xdr:from>
    <xdr:ext cx="329362" cy="507999"/>
    <xdr:pic>
      <xdr:nvPicPr>
        <xdr:cNvPr id="6" name="Picture 5">
          <a:extLst>
            <a:ext uri="{FF2B5EF4-FFF2-40B4-BE49-F238E27FC236}">
              <a16:creationId xmlns="" xmlns:a16="http://schemas.microsoft.com/office/drawing/2014/main" id="{BCD8789E-C2E5-4BB0-BF13-B39FD741B6A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478" t="7325" r="18153" b="5733"/>
        <a:stretch/>
      </xdr:blipFill>
      <xdr:spPr>
        <a:xfrm>
          <a:off x="7691966" y="51041300"/>
          <a:ext cx="329362" cy="507999"/>
        </a:xfrm>
        <a:prstGeom prst="rect">
          <a:avLst/>
        </a:prstGeom>
      </xdr:spPr>
    </xdr:pic>
    <xdr:clientData/>
  </xdr:oneCellAnchor>
  <xdr:oneCellAnchor>
    <xdr:from>
      <xdr:col>8</xdr:col>
      <xdr:colOff>232452</xdr:colOff>
      <xdr:row>48</xdr:row>
      <xdr:rowOff>42333</xdr:rowOff>
    </xdr:from>
    <xdr:ext cx="339048" cy="539749"/>
    <xdr:pic>
      <xdr:nvPicPr>
        <xdr:cNvPr id="7" name="Picture 6">
          <a:extLst>
            <a:ext uri="{FF2B5EF4-FFF2-40B4-BE49-F238E27FC236}">
              <a16:creationId xmlns="" xmlns:a16="http://schemas.microsoft.com/office/drawing/2014/main" id="{CF09FC8D-F9F0-4459-AE0B-F4C520A6D5D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41" t="8225" r="18845" b="3559"/>
        <a:stretch/>
      </xdr:blipFill>
      <xdr:spPr>
        <a:xfrm>
          <a:off x="7681002" y="30274683"/>
          <a:ext cx="339048" cy="539749"/>
        </a:xfrm>
        <a:prstGeom prst="rect">
          <a:avLst/>
        </a:prstGeom>
      </xdr:spPr>
    </xdr:pic>
    <xdr:clientData/>
  </xdr:oneCellAnchor>
  <xdr:oneCellAnchor>
    <xdr:from>
      <xdr:col>8</xdr:col>
      <xdr:colOff>131538</xdr:colOff>
      <xdr:row>82</xdr:row>
      <xdr:rowOff>74084</xdr:rowOff>
    </xdr:from>
    <xdr:ext cx="570453" cy="476250"/>
    <xdr:pic>
      <xdr:nvPicPr>
        <xdr:cNvPr id="8" name="Picture 7">
          <a:extLst>
            <a:ext uri="{FF2B5EF4-FFF2-40B4-BE49-F238E27FC236}">
              <a16:creationId xmlns="" xmlns:a16="http://schemas.microsoft.com/office/drawing/2014/main" id="{DBDFA9F8-C916-49EE-B48B-86608F9F3F1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55" t="18385" r="8667" b="13425"/>
        <a:stretch/>
      </xdr:blipFill>
      <xdr:spPr>
        <a:xfrm>
          <a:off x="7580088" y="51680534"/>
          <a:ext cx="570453" cy="476250"/>
        </a:xfrm>
        <a:prstGeom prst="rect">
          <a:avLst/>
        </a:prstGeom>
      </xdr:spPr>
    </xdr:pic>
    <xdr:clientData/>
  </xdr:oneCellAnchor>
  <xdr:oneCellAnchor>
    <xdr:from>
      <xdr:col>8</xdr:col>
      <xdr:colOff>116413</xdr:colOff>
      <xdr:row>110</xdr:row>
      <xdr:rowOff>84665</xdr:rowOff>
    </xdr:from>
    <xdr:ext cx="624417" cy="495083"/>
    <xdr:pic>
      <xdr:nvPicPr>
        <xdr:cNvPr id="9" name="Picture 8">
          <a:extLst>
            <a:ext uri="{FF2B5EF4-FFF2-40B4-BE49-F238E27FC236}">
              <a16:creationId xmlns="" xmlns:a16="http://schemas.microsoft.com/office/drawing/2014/main" id="{CA07515F-2CBC-4043-A34C-2D8EFC5E9F3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913" t="13134" r="3187" b="14000"/>
        <a:stretch/>
      </xdr:blipFill>
      <xdr:spPr>
        <a:xfrm>
          <a:off x="7564963" y="69293315"/>
          <a:ext cx="624417" cy="495083"/>
        </a:xfrm>
        <a:prstGeom prst="rect">
          <a:avLst/>
        </a:prstGeom>
      </xdr:spPr>
    </xdr:pic>
    <xdr:clientData/>
  </xdr:oneCellAnchor>
  <xdr:oneCellAnchor>
    <xdr:from>
      <xdr:col>8</xdr:col>
      <xdr:colOff>116419</xdr:colOff>
      <xdr:row>146</xdr:row>
      <xdr:rowOff>63500</xdr:rowOff>
    </xdr:from>
    <xdr:ext cx="627241" cy="497417"/>
    <xdr:pic>
      <xdr:nvPicPr>
        <xdr:cNvPr id="10" name="Picture 9">
          <a:extLst>
            <a:ext uri="{FF2B5EF4-FFF2-40B4-BE49-F238E27FC236}">
              <a16:creationId xmlns="" xmlns:a16="http://schemas.microsoft.com/office/drawing/2014/main" id="{10B64BCD-5918-4889-95E6-4D50D26A312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153" t="15965" r="3837" b="14240"/>
        <a:stretch/>
      </xdr:blipFill>
      <xdr:spPr>
        <a:xfrm>
          <a:off x="7564969" y="91903550"/>
          <a:ext cx="627241" cy="497417"/>
        </a:xfrm>
        <a:prstGeom prst="rect">
          <a:avLst/>
        </a:prstGeom>
      </xdr:spPr>
    </xdr:pic>
    <xdr:clientData/>
  </xdr:oneCellAnchor>
  <xdr:oneCellAnchor>
    <xdr:from>
      <xdr:col>8</xdr:col>
      <xdr:colOff>84665</xdr:colOff>
      <xdr:row>109</xdr:row>
      <xdr:rowOff>65377</xdr:rowOff>
    </xdr:from>
    <xdr:ext cx="687917" cy="506125"/>
    <xdr:pic>
      <xdr:nvPicPr>
        <xdr:cNvPr id="11" name="Picture 10">
          <a:extLst>
            <a:ext uri="{FF2B5EF4-FFF2-40B4-BE49-F238E27FC236}">
              <a16:creationId xmlns="" xmlns:a16="http://schemas.microsoft.com/office/drawing/2014/main" id="{BCFE352E-3BDA-43F2-9016-CC9F9EDEF45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02" t="17021" r="4412" b="16259"/>
        <a:stretch/>
      </xdr:blipFill>
      <xdr:spPr>
        <a:xfrm>
          <a:off x="7533215" y="68645377"/>
          <a:ext cx="687917" cy="506125"/>
        </a:xfrm>
        <a:prstGeom prst="rect">
          <a:avLst/>
        </a:prstGeom>
      </xdr:spPr>
    </xdr:pic>
    <xdr:clientData/>
  </xdr:oneCellAnchor>
  <xdr:oneCellAnchor>
    <xdr:from>
      <xdr:col>8</xdr:col>
      <xdr:colOff>52915</xdr:colOff>
      <xdr:row>111</xdr:row>
      <xdr:rowOff>179918</xdr:rowOff>
    </xdr:from>
    <xdr:ext cx="740834" cy="338667"/>
    <xdr:pic>
      <xdr:nvPicPr>
        <xdr:cNvPr id="12" name="Picture 11">
          <a:extLst>
            <a:ext uri="{FF2B5EF4-FFF2-40B4-BE49-F238E27FC236}">
              <a16:creationId xmlns="" xmlns:a16="http://schemas.microsoft.com/office/drawing/2014/main" id="{F82F2977-4A57-46FE-A12E-34CA60F9A73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282" t="37286" r="5933" b="23499"/>
        <a:stretch/>
      </xdr:blipFill>
      <xdr:spPr>
        <a:xfrm>
          <a:off x="7501465" y="70017218"/>
          <a:ext cx="740834" cy="338667"/>
        </a:xfrm>
        <a:prstGeom prst="rect">
          <a:avLst/>
        </a:prstGeom>
      </xdr:spPr>
    </xdr:pic>
    <xdr:clientData/>
  </xdr:oneCellAnchor>
  <xdr:oneCellAnchor>
    <xdr:from>
      <xdr:col>8</xdr:col>
      <xdr:colOff>95249</xdr:colOff>
      <xdr:row>49</xdr:row>
      <xdr:rowOff>105832</xdr:rowOff>
    </xdr:from>
    <xdr:ext cx="665233" cy="444501"/>
    <xdr:pic>
      <xdr:nvPicPr>
        <xdr:cNvPr id="13" name="Picture 12">
          <a:extLst>
            <a:ext uri="{FF2B5EF4-FFF2-40B4-BE49-F238E27FC236}">
              <a16:creationId xmlns="" xmlns:a16="http://schemas.microsoft.com/office/drawing/2014/main" id="{175CA5C3-D501-4F4F-BA8B-15D8D919891B}"/>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376" t="21580" r="5163" b="18644"/>
        <a:stretch/>
      </xdr:blipFill>
      <xdr:spPr>
        <a:xfrm>
          <a:off x="7543799" y="30966832"/>
          <a:ext cx="665233" cy="444501"/>
        </a:xfrm>
        <a:prstGeom prst="rect">
          <a:avLst/>
        </a:prstGeom>
      </xdr:spPr>
    </xdr:pic>
    <xdr:clientData/>
  </xdr:oneCellAnchor>
  <xdr:oneCellAnchor>
    <xdr:from>
      <xdr:col>8</xdr:col>
      <xdr:colOff>63500</xdr:colOff>
      <xdr:row>90</xdr:row>
      <xdr:rowOff>62748</xdr:rowOff>
    </xdr:from>
    <xdr:ext cx="725596" cy="519335"/>
    <xdr:pic>
      <xdr:nvPicPr>
        <xdr:cNvPr id="14" name="Picture 13">
          <a:extLst>
            <a:ext uri="{FF2B5EF4-FFF2-40B4-BE49-F238E27FC236}">
              <a16:creationId xmlns="" xmlns:a16="http://schemas.microsoft.com/office/drawing/2014/main" id="{C18E599B-B7E9-479A-8BE6-9FEA456108D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495" t="23423" r="5006" b="14665"/>
        <a:stretch/>
      </xdr:blipFill>
      <xdr:spPr>
        <a:xfrm>
          <a:off x="7512050" y="56698398"/>
          <a:ext cx="725596" cy="519335"/>
        </a:xfrm>
        <a:prstGeom prst="rect">
          <a:avLst/>
        </a:prstGeom>
      </xdr:spPr>
    </xdr:pic>
    <xdr:clientData/>
  </xdr:oneCellAnchor>
  <xdr:oneCellAnchor>
    <xdr:from>
      <xdr:col>8</xdr:col>
      <xdr:colOff>137584</xdr:colOff>
      <xdr:row>21</xdr:row>
      <xdr:rowOff>42334</xdr:rowOff>
    </xdr:from>
    <xdr:ext cx="555920" cy="550333"/>
    <xdr:pic>
      <xdr:nvPicPr>
        <xdr:cNvPr id="15" name="Picture 14">
          <a:extLst>
            <a:ext uri="{FF2B5EF4-FFF2-40B4-BE49-F238E27FC236}">
              <a16:creationId xmlns="" xmlns:a16="http://schemas.microsoft.com/office/drawing/2014/main" id="{B0C495D0-2603-4D26-93D9-B14086D463DF}"/>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7026" t="7025" r="5597" b="6475"/>
        <a:stretch/>
      </xdr:blipFill>
      <xdr:spPr>
        <a:xfrm>
          <a:off x="7586134" y="13301134"/>
          <a:ext cx="555920" cy="550333"/>
        </a:xfrm>
        <a:prstGeom prst="rect">
          <a:avLst/>
        </a:prstGeom>
      </xdr:spPr>
    </xdr:pic>
    <xdr:clientData/>
  </xdr:oneCellAnchor>
  <xdr:oneCellAnchor>
    <xdr:from>
      <xdr:col>8</xdr:col>
      <xdr:colOff>63500</xdr:colOff>
      <xdr:row>11</xdr:row>
      <xdr:rowOff>54461</xdr:rowOff>
    </xdr:from>
    <xdr:ext cx="719667" cy="527621"/>
    <xdr:pic>
      <xdr:nvPicPr>
        <xdr:cNvPr id="16" name="Picture 15">
          <a:extLst>
            <a:ext uri="{FF2B5EF4-FFF2-40B4-BE49-F238E27FC236}">
              <a16:creationId xmlns="" xmlns:a16="http://schemas.microsoft.com/office/drawing/2014/main" id="{E7E3F839-6D86-4B9E-8042-CBB9CDF32F49}"/>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688" t="18891" r="5117" b="16450"/>
        <a:stretch/>
      </xdr:blipFill>
      <xdr:spPr>
        <a:xfrm>
          <a:off x="7512050" y="7026761"/>
          <a:ext cx="719667" cy="527621"/>
        </a:xfrm>
        <a:prstGeom prst="rect">
          <a:avLst/>
        </a:prstGeom>
      </xdr:spPr>
    </xdr:pic>
    <xdr:clientData/>
  </xdr:oneCellAnchor>
  <xdr:oneCellAnchor>
    <xdr:from>
      <xdr:col>8</xdr:col>
      <xdr:colOff>63492</xdr:colOff>
      <xdr:row>12</xdr:row>
      <xdr:rowOff>43210</xdr:rowOff>
    </xdr:from>
    <xdr:ext cx="730249" cy="540626"/>
    <xdr:pic>
      <xdr:nvPicPr>
        <xdr:cNvPr id="17" name="Picture 16">
          <a:extLst>
            <a:ext uri="{FF2B5EF4-FFF2-40B4-BE49-F238E27FC236}">
              <a16:creationId xmlns="" xmlns:a16="http://schemas.microsoft.com/office/drawing/2014/main" id="{E107E83E-C950-4EEC-85DE-E15819C15908}"/>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6646" t="18600" r="3672" b="15007"/>
        <a:stretch/>
      </xdr:blipFill>
      <xdr:spPr>
        <a:xfrm>
          <a:off x="7512042" y="7644160"/>
          <a:ext cx="730249" cy="540626"/>
        </a:xfrm>
        <a:prstGeom prst="rect">
          <a:avLst/>
        </a:prstGeom>
      </xdr:spPr>
    </xdr:pic>
    <xdr:clientData/>
  </xdr:oneCellAnchor>
  <xdr:oneCellAnchor>
    <xdr:from>
      <xdr:col>8</xdr:col>
      <xdr:colOff>52918</xdr:colOff>
      <xdr:row>139</xdr:row>
      <xdr:rowOff>168879</xdr:rowOff>
    </xdr:from>
    <xdr:ext cx="730250" cy="307371"/>
    <xdr:pic>
      <xdr:nvPicPr>
        <xdr:cNvPr id="18" name="Picture 17">
          <a:extLst>
            <a:ext uri="{FF2B5EF4-FFF2-40B4-BE49-F238E27FC236}">
              <a16:creationId xmlns="" xmlns:a16="http://schemas.microsoft.com/office/drawing/2014/main" id="{9A269421-717B-4441-8BDF-ED9AC28A6B49}"/>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7594" t="29705" b="31400"/>
        <a:stretch/>
      </xdr:blipFill>
      <xdr:spPr>
        <a:xfrm>
          <a:off x="7501468" y="87608379"/>
          <a:ext cx="730250" cy="307371"/>
        </a:xfrm>
        <a:prstGeom prst="rect">
          <a:avLst/>
        </a:prstGeom>
      </xdr:spPr>
    </xdr:pic>
    <xdr:clientData/>
  </xdr:oneCellAnchor>
  <xdr:oneCellAnchor>
    <xdr:from>
      <xdr:col>8</xdr:col>
      <xdr:colOff>253992</xdr:colOff>
      <xdr:row>69</xdr:row>
      <xdr:rowOff>63498</xdr:rowOff>
    </xdr:from>
    <xdr:ext cx="329362" cy="507999"/>
    <xdr:pic>
      <xdr:nvPicPr>
        <xdr:cNvPr id="19" name="Picture 18">
          <a:extLst>
            <a:ext uri="{FF2B5EF4-FFF2-40B4-BE49-F238E27FC236}">
              <a16:creationId xmlns="" xmlns:a16="http://schemas.microsoft.com/office/drawing/2014/main" id="{3B5697B0-2C29-4B84-A59B-7F84D209D3E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478" t="7325" r="18153" b="5733"/>
        <a:stretch/>
      </xdr:blipFill>
      <xdr:spPr>
        <a:xfrm>
          <a:off x="7702542" y="43497498"/>
          <a:ext cx="329362" cy="507999"/>
        </a:xfrm>
        <a:prstGeom prst="rect">
          <a:avLst/>
        </a:prstGeom>
      </xdr:spPr>
    </xdr:pic>
    <xdr:clientData/>
  </xdr:oneCellAnchor>
  <xdr:oneCellAnchor>
    <xdr:from>
      <xdr:col>8</xdr:col>
      <xdr:colOff>222243</xdr:colOff>
      <xdr:row>54</xdr:row>
      <xdr:rowOff>42332</xdr:rowOff>
    </xdr:from>
    <xdr:ext cx="339048" cy="539749"/>
    <xdr:pic>
      <xdr:nvPicPr>
        <xdr:cNvPr id="20" name="Picture 19">
          <a:extLst>
            <a:ext uri="{FF2B5EF4-FFF2-40B4-BE49-F238E27FC236}">
              <a16:creationId xmlns="" xmlns:a16="http://schemas.microsoft.com/office/drawing/2014/main" id="{5442D9B7-051D-416B-AF95-AE638BABEE7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41" t="8225" r="18845" b="3559"/>
        <a:stretch/>
      </xdr:blipFill>
      <xdr:spPr>
        <a:xfrm>
          <a:off x="7670793" y="34046582"/>
          <a:ext cx="339048" cy="539749"/>
        </a:xfrm>
        <a:prstGeom prst="rect">
          <a:avLst/>
        </a:prstGeom>
      </xdr:spPr>
    </xdr:pic>
    <xdr:clientData/>
  </xdr:oneCellAnchor>
  <xdr:oneCellAnchor>
    <xdr:from>
      <xdr:col>8</xdr:col>
      <xdr:colOff>42331</xdr:colOff>
      <xdr:row>140</xdr:row>
      <xdr:rowOff>155691</xdr:rowOff>
    </xdr:from>
    <xdr:ext cx="751417" cy="394643"/>
    <xdr:pic>
      <xdr:nvPicPr>
        <xdr:cNvPr id="21" name="Picture 20">
          <a:extLst>
            <a:ext uri="{FF2B5EF4-FFF2-40B4-BE49-F238E27FC236}">
              <a16:creationId xmlns="" xmlns:a16="http://schemas.microsoft.com/office/drawing/2014/main" id="{D38D85A9-95ED-498F-9E97-A8DFA902583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259" t="26483" r="2278" b="23905"/>
        <a:stretch/>
      </xdr:blipFill>
      <xdr:spPr>
        <a:xfrm>
          <a:off x="7490881" y="88223841"/>
          <a:ext cx="751417" cy="394643"/>
        </a:xfrm>
        <a:prstGeom prst="rect">
          <a:avLst/>
        </a:prstGeom>
      </xdr:spPr>
    </xdr:pic>
    <xdr:clientData/>
  </xdr:oneCellAnchor>
  <xdr:oneCellAnchor>
    <xdr:from>
      <xdr:col>8</xdr:col>
      <xdr:colOff>52916</xdr:colOff>
      <xdr:row>47</xdr:row>
      <xdr:rowOff>52917</xdr:rowOff>
    </xdr:from>
    <xdr:ext cx="741201" cy="511782"/>
    <xdr:pic>
      <xdr:nvPicPr>
        <xdr:cNvPr id="22" name="Picture 21">
          <a:extLst>
            <a:ext uri="{FF2B5EF4-FFF2-40B4-BE49-F238E27FC236}">
              <a16:creationId xmlns="" xmlns:a16="http://schemas.microsoft.com/office/drawing/2014/main" id="{0EB80F78-FA1D-4224-B6AE-2E274A7565F5}"/>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726" t="23934" r="7083" b="17934"/>
        <a:stretch/>
      </xdr:blipFill>
      <xdr:spPr>
        <a:xfrm>
          <a:off x="7501466" y="29656617"/>
          <a:ext cx="741201" cy="511782"/>
        </a:xfrm>
        <a:prstGeom prst="rect">
          <a:avLst/>
        </a:prstGeom>
      </xdr:spPr>
    </xdr:pic>
    <xdr:clientData/>
  </xdr:oneCellAnchor>
  <xdr:oneCellAnchor>
    <xdr:from>
      <xdr:col>8</xdr:col>
      <xdr:colOff>42333</xdr:colOff>
      <xdr:row>65</xdr:row>
      <xdr:rowOff>131394</xdr:rowOff>
    </xdr:from>
    <xdr:ext cx="774369" cy="376606"/>
    <xdr:pic>
      <xdr:nvPicPr>
        <xdr:cNvPr id="23" name="Picture 22">
          <a:extLst>
            <a:ext uri="{FF2B5EF4-FFF2-40B4-BE49-F238E27FC236}">
              <a16:creationId xmlns="" xmlns:a16="http://schemas.microsoft.com/office/drawing/2014/main" id="{A1F41365-A7EF-436F-96E3-6AC7CBBE3BE3}"/>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5175" t="29904" r="3118" b="25494"/>
        <a:stretch/>
      </xdr:blipFill>
      <xdr:spPr>
        <a:xfrm>
          <a:off x="7490883" y="41050794"/>
          <a:ext cx="774369" cy="376606"/>
        </a:xfrm>
        <a:prstGeom prst="rect">
          <a:avLst/>
        </a:prstGeom>
      </xdr:spPr>
    </xdr:pic>
    <xdr:clientData/>
  </xdr:oneCellAnchor>
  <xdr:oneCellAnchor>
    <xdr:from>
      <xdr:col>8</xdr:col>
      <xdr:colOff>52918</xdr:colOff>
      <xdr:row>42</xdr:row>
      <xdr:rowOff>148162</xdr:rowOff>
    </xdr:from>
    <xdr:ext cx="740833" cy="335392"/>
    <xdr:pic>
      <xdr:nvPicPr>
        <xdr:cNvPr id="24" name="Picture 23">
          <a:extLst>
            <a:ext uri="{FF2B5EF4-FFF2-40B4-BE49-F238E27FC236}">
              <a16:creationId xmlns="" xmlns:a16="http://schemas.microsoft.com/office/drawing/2014/main" id="{1A0CEC64-A39B-4EBB-B234-C5A17D1B127F}"/>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388" t="35123" r="4163" b="25287"/>
        <a:stretch/>
      </xdr:blipFill>
      <xdr:spPr>
        <a:xfrm>
          <a:off x="7501468" y="26608612"/>
          <a:ext cx="740833" cy="335392"/>
        </a:xfrm>
        <a:prstGeom prst="rect">
          <a:avLst/>
        </a:prstGeom>
      </xdr:spPr>
    </xdr:pic>
    <xdr:clientData/>
  </xdr:oneCellAnchor>
  <xdr:oneCellAnchor>
    <xdr:from>
      <xdr:col>8</xdr:col>
      <xdr:colOff>211664</xdr:colOff>
      <xdr:row>43</xdr:row>
      <xdr:rowOff>74084</xdr:rowOff>
    </xdr:from>
    <xdr:ext cx="332059" cy="486833"/>
    <xdr:pic>
      <xdr:nvPicPr>
        <xdr:cNvPr id="25" name="Picture 24">
          <a:extLst>
            <a:ext uri="{FF2B5EF4-FFF2-40B4-BE49-F238E27FC236}">
              <a16:creationId xmlns="" xmlns:a16="http://schemas.microsoft.com/office/drawing/2014/main" id="{DDD8E9E3-2F98-4756-B827-62BAB49D5D75}"/>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9120" t="8519" r="21746" b="4784"/>
        <a:stretch/>
      </xdr:blipFill>
      <xdr:spPr>
        <a:xfrm>
          <a:off x="7660214" y="27163184"/>
          <a:ext cx="332059" cy="486833"/>
        </a:xfrm>
        <a:prstGeom prst="rect">
          <a:avLst/>
        </a:prstGeom>
      </xdr:spPr>
    </xdr:pic>
    <xdr:clientData/>
  </xdr:oneCellAnchor>
  <xdr:oneCellAnchor>
    <xdr:from>
      <xdr:col>8</xdr:col>
      <xdr:colOff>42333</xdr:colOff>
      <xdr:row>102</xdr:row>
      <xdr:rowOff>74080</xdr:rowOff>
    </xdr:from>
    <xdr:ext cx="751416" cy="476705"/>
    <xdr:pic>
      <xdr:nvPicPr>
        <xdr:cNvPr id="26" name="Picture 25">
          <a:extLst>
            <a:ext uri="{FF2B5EF4-FFF2-40B4-BE49-F238E27FC236}">
              <a16:creationId xmlns="" xmlns:a16="http://schemas.microsoft.com/office/drawing/2014/main" id="{AD5E17F6-0B5E-43DA-A88A-0482FFF6A13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6218" t="28969" r="7280" b="22498"/>
        <a:stretch/>
      </xdr:blipFill>
      <xdr:spPr>
        <a:xfrm>
          <a:off x="7490883" y="64253530"/>
          <a:ext cx="751416" cy="476705"/>
        </a:xfrm>
        <a:prstGeom prst="rect">
          <a:avLst/>
        </a:prstGeom>
      </xdr:spPr>
    </xdr:pic>
    <xdr:clientData/>
  </xdr:oneCellAnchor>
  <xdr:oneCellAnchor>
    <xdr:from>
      <xdr:col>8</xdr:col>
      <xdr:colOff>52916</xdr:colOff>
      <xdr:row>22</xdr:row>
      <xdr:rowOff>133941</xdr:rowOff>
    </xdr:from>
    <xdr:ext cx="740833" cy="416393"/>
    <xdr:pic>
      <xdr:nvPicPr>
        <xdr:cNvPr id="27" name="Picture 26">
          <a:extLst>
            <a:ext uri="{FF2B5EF4-FFF2-40B4-BE49-F238E27FC236}">
              <a16:creationId xmlns="" xmlns:a16="http://schemas.microsoft.com/office/drawing/2014/main" id="{3B6F6D1E-1EAF-48DC-B683-F04E4E48A029}"/>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312" t="29345" r="5875" b="21300"/>
        <a:stretch/>
      </xdr:blipFill>
      <xdr:spPr>
        <a:xfrm>
          <a:off x="7501466" y="14021391"/>
          <a:ext cx="740833" cy="416393"/>
        </a:xfrm>
        <a:prstGeom prst="rect">
          <a:avLst/>
        </a:prstGeom>
      </xdr:spPr>
    </xdr:pic>
    <xdr:clientData/>
  </xdr:oneCellAnchor>
  <xdr:oneCellAnchor>
    <xdr:from>
      <xdr:col>8</xdr:col>
      <xdr:colOff>63501</xdr:colOff>
      <xdr:row>103</xdr:row>
      <xdr:rowOff>167723</xdr:rowOff>
    </xdr:from>
    <xdr:ext cx="718827" cy="393190"/>
    <xdr:pic>
      <xdr:nvPicPr>
        <xdr:cNvPr id="28" name="Picture 27">
          <a:extLst>
            <a:ext uri="{FF2B5EF4-FFF2-40B4-BE49-F238E27FC236}">
              <a16:creationId xmlns="" xmlns:a16="http://schemas.microsoft.com/office/drawing/2014/main" id="{0E911926-F344-4CBA-85D3-3227A7628945}"/>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7716" t="29515" r="6940" b="23803"/>
        <a:stretch/>
      </xdr:blipFill>
      <xdr:spPr>
        <a:xfrm>
          <a:off x="7512051" y="64975823"/>
          <a:ext cx="718827" cy="393190"/>
        </a:xfrm>
        <a:prstGeom prst="rect">
          <a:avLst/>
        </a:prstGeom>
      </xdr:spPr>
    </xdr:pic>
    <xdr:clientData/>
  </xdr:oneCellAnchor>
  <xdr:oneCellAnchor>
    <xdr:from>
      <xdr:col>8</xdr:col>
      <xdr:colOff>52916</xdr:colOff>
      <xdr:row>46</xdr:row>
      <xdr:rowOff>95250</xdr:rowOff>
    </xdr:from>
    <xdr:ext cx="731845" cy="476251"/>
    <xdr:pic>
      <xdr:nvPicPr>
        <xdr:cNvPr id="29" name="Picture 28">
          <a:extLst>
            <a:ext uri="{FF2B5EF4-FFF2-40B4-BE49-F238E27FC236}">
              <a16:creationId xmlns="" xmlns:a16="http://schemas.microsoft.com/office/drawing/2014/main" id="{9C84FBF0-8484-4C5C-9C8F-9DC58A8C5D11}"/>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1588" t="27423" r="6564" b="19314"/>
        <a:stretch/>
      </xdr:blipFill>
      <xdr:spPr>
        <a:xfrm>
          <a:off x="7501466" y="29070300"/>
          <a:ext cx="731845" cy="476251"/>
        </a:xfrm>
        <a:prstGeom prst="rect">
          <a:avLst/>
        </a:prstGeom>
      </xdr:spPr>
    </xdr:pic>
    <xdr:clientData/>
  </xdr:oneCellAnchor>
  <xdr:oneCellAnchor>
    <xdr:from>
      <xdr:col>8</xdr:col>
      <xdr:colOff>52916</xdr:colOff>
      <xdr:row>17</xdr:row>
      <xdr:rowOff>63499</xdr:rowOff>
    </xdr:from>
    <xdr:ext cx="742877" cy="476250"/>
    <xdr:pic>
      <xdr:nvPicPr>
        <xdr:cNvPr id="30" name="Picture 29">
          <a:extLst>
            <a:ext uri="{FF2B5EF4-FFF2-40B4-BE49-F238E27FC236}">
              <a16:creationId xmlns="" xmlns:a16="http://schemas.microsoft.com/office/drawing/2014/main" id="{088320F4-644B-4FB5-89ED-8D6D291BBB69}"/>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0935" t="27387" r="5983" b="19350"/>
        <a:stretch/>
      </xdr:blipFill>
      <xdr:spPr>
        <a:xfrm>
          <a:off x="7501466" y="10807699"/>
          <a:ext cx="742877" cy="476250"/>
        </a:xfrm>
        <a:prstGeom prst="rect">
          <a:avLst/>
        </a:prstGeom>
      </xdr:spPr>
    </xdr:pic>
    <xdr:clientData/>
  </xdr:oneCellAnchor>
  <xdr:oneCellAnchor>
    <xdr:from>
      <xdr:col>8</xdr:col>
      <xdr:colOff>42334</xdr:colOff>
      <xdr:row>118</xdr:row>
      <xdr:rowOff>127000</xdr:rowOff>
    </xdr:from>
    <xdr:ext cx="718386" cy="370418"/>
    <xdr:pic>
      <xdr:nvPicPr>
        <xdr:cNvPr id="31" name="Picture 30">
          <a:extLst>
            <a:ext uri="{FF2B5EF4-FFF2-40B4-BE49-F238E27FC236}">
              <a16:creationId xmlns="" xmlns:a16="http://schemas.microsoft.com/office/drawing/2014/main" id="{73E604A7-92C8-4912-BCF0-B7D26CE35006}"/>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5142" t="29613" r="2728" b="22882"/>
        <a:stretch/>
      </xdr:blipFill>
      <xdr:spPr>
        <a:xfrm>
          <a:off x="7490884" y="74364850"/>
          <a:ext cx="718386" cy="370418"/>
        </a:xfrm>
        <a:prstGeom prst="rect">
          <a:avLst/>
        </a:prstGeom>
      </xdr:spPr>
    </xdr:pic>
    <xdr:clientData/>
  </xdr:oneCellAnchor>
  <xdr:oneCellAnchor>
    <xdr:from>
      <xdr:col>8</xdr:col>
      <xdr:colOff>63499</xdr:colOff>
      <xdr:row>58</xdr:row>
      <xdr:rowOff>147056</xdr:rowOff>
    </xdr:from>
    <xdr:ext cx="709084" cy="392695"/>
    <xdr:pic>
      <xdr:nvPicPr>
        <xdr:cNvPr id="32" name="Picture 31">
          <a:extLst>
            <a:ext uri="{FF2B5EF4-FFF2-40B4-BE49-F238E27FC236}">
              <a16:creationId xmlns="" xmlns:a16="http://schemas.microsoft.com/office/drawing/2014/main" id="{FA6E4EDA-1915-4C0E-979C-D25F6F4255F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7139" t="30135" r="5127" b="21277"/>
        <a:stretch/>
      </xdr:blipFill>
      <xdr:spPr>
        <a:xfrm>
          <a:off x="7512049" y="36665906"/>
          <a:ext cx="709084" cy="392695"/>
        </a:xfrm>
        <a:prstGeom prst="rect">
          <a:avLst/>
        </a:prstGeom>
      </xdr:spPr>
    </xdr:pic>
    <xdr:clientData/>
  </xdr:oneCellAnchor>
  <xdr:oneCellAnchor>
    <xdr:from>
      <xdr:col>8</xdr:col>
      <xdr:colOff>42333</xdr:colOff>
      <xdr:row>127</xdr:row>
      <xdr:rowOff>134857</xdr:rowOff>
    </xdr:from>
    <xdr:ext cx="751416" cy="426060"/>
    <xdr:pic>
      <xdr:nvPicPr>
        <xdr:cNvPr id="33" name="Picture 32">
          <a:extLst>
            <a:ext uri="{FF2B5EF4-FFF2-40B4-BE49-F238E27FC236}">
              <a16:creationId xmlns="" xmlns:a16="http://schemas.microsoft.com/office/drawing/2014/main" id="{629F1D5D-36F2-4B79-8F2E-1EE0EEF0B635}"/>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6177" t="24108" r="4476" b="25232"/>
        <a:stretch/>
      </xdr:blipFill>
      <xdr:spPr>
        <a:xfrm>
          <a:off x="7490883" y="80030557"/>
          <a:ext cx="751416" cy="426060"/>
        </a:xfrm>
        <a:prstGeom prst="rect">
          <a:avLst/>
        </a:prstGeom>
      </xdr:spPr>
    </xdr:pic>
    <xdr:clientData/>
  </xdr:oneCellAnchor>
  <xdr:oneCellAnchor>
    <xdr:from>
      <xdr:col>8</xdr:col>
      <xdr:colOff>42335</xdr:colOff>
      <xdr:row>101</xdr:row>
      <xdr:rowOff>137586</xdr:rowOff>
    </xdr:from>
    <xdr:ext cx="772583" cy="406421"/>
    <xdr:pic>
      <xdr:nvPicPr>
        <xdr:cNvPr id="34" name="Picture 33">
          <a:extLst>
            <a:ext uri="{FF2B5EF4-FFF2-40B4-BE49-F238E27FC236}">
              <a16:creationId xmlns="" xmlns:a16="http://schemas.microsoft.com/office/drawing/2014/main" id="{CC310054-7388-4E8C-9803-C5E950403A93}"/>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4525" t="24299" r="2673" b="26884"/>
        <a:stretch/>
      </xdr:blipFill>
      <xdr:spPr>
        <a:xfrm>
          <a:off x="7490885" y="63688386"/>
          <a:ext cx="772583" cy="406421"/>
        </a:xfrm>
        <a:prstGeom prst="rect">
          <a:avLst/>
        </a:prstGeom>
      </xdr:spPr>
    </xdr:pic>
    <xdr:clientData/>
  </xdr:oneCellAnchor>
  <xdr:oneCellAnchor>
    <xdr:from>
      <xdr:col>8</xdr:col>
      <xdr:colOff>52917</xdr:colOff>
      <xdr:row>59</xdr:row>
      <xdr:rowOff>31750</xdr:rowOff>
    </xdr:from>
    <xdr:ext cx="678727" cy="560917"/>
    <xdr:pic>
      <xdr:nvPicPr>
        <xdr:cNvPr id="35" name="Picture 34">
          <a:extLst>
            <a:ext uri="{FF2B5EF4-FFF2-40B4-BE49-F238E27FC236}">
              <a16:creationId xmlns="" xmlns:a16="http://schemas.microsoft.com/office/drawing/2014/main" id="{22402A1D-7067-474F-BB4D-39053292B43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7480" t="13896" r="3635" b="12647"/>
        <a:stretch/>
      </xdr:blipFill>
      <xdr:spPr>
        <a:xfrm>
          <a:off x="7501467" y="37179250"/>
          <a:ext cx="678727" cy="560917"/>
        </a:xfrm>
        <a:prstGeom prst="rect">
          <a:avLst/>
        </a:prstGeom>
      </xdr:spPr>
    </xdr:pic>
    <xdr:clientData/>
  </xdr:oneCellAnchor>
  <xdr:oneCellAnchor>
    <xdr:from>
      <xdr:col>8</xdr:col>
      <xdr:colOff>74082</xdr:colOff>
      <xdr:row>23</xdr:row>
      <xdr:rowOff>33581</xdr:rowOff>
    </xdr:from>
    <xdr:ext cx="709083" cy="559085"/>
    <xdr:pic>
      <xdr:nvPicPr>
        <xdr:cNvPr id="36" name="Picture 35">
          <a:extLst>
            <a:ext uri="{FF2B5EF4-FFF2-40B4-BE49-F238E27FC236}">
              <a16:creationId xmlns="" xmlns:a16="http://schemas.microsoft.com/office/drawing/2014/main" id="{2641C033-0775-4CAA-89B4-D1D2E4FC12B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8361" t="18231" r="7820" b="15680"/>
        <a:stretch/>
      </xdr:blipFill>
      <xdr:spPr>
        <a:xfrm>
          <a:off x="7522632" y="14549681"/>
          <a:ext cx="709083" cy="559085"/>
        </a:xfrm>
        <a:prstGeom prst="rect">
          <a:avLst/>
        </a:prstGeom>
      </xdr:spPr>
    </xdr:pic>
    <xdr:clientData/>
  </xdr:oneCellAnchor>
  <xdr:oneCellAnchor>
    <xdr:from>
      <xdr:col>8</xdr:col>
      <xdr:colOff>52917</xdr:colOff>
      <xdr:row>112</xdr:row>
      <xdr:rowOff>52918</xdr:rowOff>
    </xdr:from>
    <xdr:ext cx="676434" cy="529166"/>
    <xdr:pic>
      <xdr:nvPicPr>
        <xdr:cNvPr id="37" name="Picture 36">
          <a:extLst>
            <a:ext uri="{FF2B5EF4-FFF2-40B4-BE49-F238E27FC236}">
              <a16:creationId xmlns="" xmlns:a16="http://schemas.microsoft.com/office/drawing/2014/main" id="{09E3CC2C-0E73-4F1A-B43F-F54DCDD7B664}"/>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7082" t="18398" r="5302" b="13061"/>
        <a:stretch/>
      </xdr:blipFill>
      <xdr:spPr>
        <a:xfrm>
          <a:off x="7501467" y="70518868"/>
          <a:ext cx="676434" cy="529166"/>
        </a:xfrm>
        <a:prstGeom prst="rect">
          <a:avLst/>
        </a:prstGeom>
      </xdr:spPr>
    </xdr:pic>
    <xdr:clientData/>
  </xdr:oneCellAnchor>
  <xdr:oneCellAnchor>
    <xdr:from>
      <xdr:col>8</xdr:col>
      <xdr:colOff>45596</xdr:colOff>
      <xdr:row>122</xdr:row>
      <xdr:rowOff>74082</xdr:rowOff>
    </xdr:from>
    <xdr:ext cx="755249" cy="486833"/>
    <xdr:pic>
      <xdr:nvPicPr>
        <xdr:cNvPr id="38" name="Picture 37">
          <a:extLst>
            <a:ext uri="{FF2B5EF4-FFF2-40B4-BE49-F238E27FC236}">
              <a16:creationId xmlns="" xmlns:a16="http://schemas.microsoft.com/office/drawing/2014/main" id="{4AAD3463-FBFB-4CCE-951B-F526580FDCCC}"/>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707" t="21519" r="2504" b="18670"/>
        <a:stretch/>
      </xdr:blipFill>
      <xdr:spPr>
        <a:xfrm>
          <a:off x="7494146" y="76826532"/>
          <a:ext cx="755249" cy="486833"/>
        </a:xfrm>
        <a:prstGeom prst="rect">
          <a:avLst/>
        </a:prstGeom>
      </xdr:spPr>
    </xdr:pic>
    <xdr:clientData/>
  </xdr:oneCellAnchor>
  <xdr:oneCellAnchor>
    <xdr:from>
      <xdr:col>8</xdr:col>
      <xdr:colOff>39405</xdr:colOff>
      <xdr:row>25</xdr:row>
      <xdr:rowOff>42334</xdr:rowOff>
    </xdr:from>
    <xdr:ext cx="765146" cy="560916"/>
    <xdr:pic>
      <xdr:nvPicPr>
        <xdr:cNvPr id="39" name="Picture 38">
          <a:extLst>
            <a:ext uri="{FF2B5EF4-FFF2-40B4-BE49-F238E27FC236}">
              <a16:creationId xmlns="" xmlns:a16="http://schemas.microsoft.com/office/drawing/2014/main" id="{D9DBCC70-2F5D-4A61-AB08-D44148E10E7E}"/>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7884" t="21139" r="6117" b="15816"/>
        <a:stretch/>
      </xdr:blipFill>
      <xdr:spPr>
        <a:xfrm>
          <a:off x="7487955" y="15815734"/>
          <a:ext cx="765146" cy="560916"/>
        </a:xfrm>
        <a:prstGeom prst="rect">
          <a:avLst/>
        </a:prstGeom>
      </xdr:spPr>
    </xdr:pic>
    <xdr:clientData/>
  </xdr:oneCellAnchor>
  <xdr:oneCellAnchor>
    <xdr:from>
      <xdr:col>8</xdr:col>
      <xdr:colOff>74083</xdr:colOff>
      <xdr:row>14</xdr:row>
      <xdr:rowOff>116418</xdr:rowOff>
    </xdr:from>
    <xdr:ext cx="703248" cy="433919"/>
    <xdr:pic>
      <xdr:nvPicPr>
        <xdr:cNvPr id="40" name="Picture 39">
          <a:extLst>
            <a:ext uri="{FF2B5EF4-FFF2-40B4-BE49-F238E27FC236}">
              <a16:creationId xmlns="" xmlns:a16="http://schemas.microsoft.com/office/drawing/2014/main" id="{5F539757-8994-4FD2-A8D8-42D6D527E5FD}"/>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909" t="21666" r="2595" b="22243"/>
        <a:stretch/>
      </xdr:blipFill>
      <xdr:spPr>
        <a:xfrm>
          <a:off x="7522633" y="8974668"/>
          <a:ext cx="703248" cy="433919"/>
        </a:xfrm>
        <a:prstGeom prst="rect">
          <a:avLst/>
        </a:prstGeom>
      </xdr:spPr>
    </xdr:pic>
    <xdr:clientData/>
  </xdr:oneCellAnchor>
  <xdr:oneCellAnchor>
    <xdr:from>
      <xdr:col>8</xdr:col>
      <xdr:colOff>317498</xdr:colOff>
      <xdr:row>37</xdr:row>
      <xdr:rowOff>42334</xdr:rowOff>
    </xdr:from>
    <xdr:ext cx="209742" cy="529166"/>
    <xdr:pic>
      <xdr:nvPicPr>
        <xdr:cNvPr id="41" name="Picture 40">
          <a:extLst>
            <a:ext uri="{FF2B5EF4-FFF2-40B4-BE49-F238E27FC236}">
              <a16:creationId xmlns="" xmlns:a16="http://schemas.microsoft.com/office/drawing/2014/main" id="{1F721B83-6607-4BCE-976E-787744024E86}"/>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32766" t="4048" r="31994" b="7044"/>
        <a:stretch/>
      </xdr:blipFill>
      <xdr:spPr>
        <a:xfrm>
          <a:off x="7766048" y="23359534"/>
          <a:ext cx="209742" cy="529166"/>
        </a:xfrm>
        <a:prstGeom prst="rect">
          <a:avLst/>
        </a:prstGeom>
      </xdr:spPr>
    </xdr:pic>
    <xdr:clientData/>
  </xdr:oneCellAnchor>
  <xdr:oneCellAnchor>
    <xdr:from>
      <xdr:col>8</xdr:col>
      <xdr:colOff>306917</xdr:colOff>
      <xdr:row>68</xdr:row>
      <xdr:rowOff>52916</xdr:rowOff>
    </xdr:from>
    <xdr:ext cx="223344" cy="539750"/>
    <xdr:pic>
      <xdr:nvPicPr>
        <xdr:cNvPr id="42" name="Picture 41">
          <a:extLst>
            <a:ext uri="{FF2B5EF4-FFF2-40B4-BE49-F238E27FC236}">
              <a16:creationId xmlns="" xmlns:a16="http://schemas.microsoft.com/office/drawing/2014/main" id="{D867F024-2E13-4A5B-AED1-72BDF78EA44E}"/>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29153" t="3022" r="32050" b="3219"/>
        <a:stretch/>
      </xdr:blipFill>
      <xdr:spPr>
        <a:xfrm>
          <a:off x="7755467" y="42858266"/>
          <a:ext cx="223344" cy="539750"/>
        </a:xfrm>
        <a:prstGeom prst="rect">
          <a:avLst/>
        </a:prstGeom>
      </xdr:spPr>
    </xdr:pic>
    <xdr:clientData/>
  </xdr:oneCellAnchor>
  <xdr:oneCellAnchor>
    <xdr:from>
      <xdr:col>8</xdr:col>
      <xdr:colOff>285751</xdr:colOff>
      <xdr:row>105</xdr:row>
      <xdr:rowOff>42331</xdr:rowOff>
    </xdr:from>
    <xdr:ext cx="245685" cy="550335"/>
    <xdr:pic>
      <xdr:nvPicPr>
        <xdr:cNvPr id="43" name="Picture 42">
          <a:extLst>
            <a:ext uri="{FF2B5EF4-FFF2-40B4-BE49-F238E27FC236}">
              <a16:creationId xmlns="" xmlns:a16="http://schemas.microsoft.com/office/drawing/2014/main" id="{600FF0A6-1D4F-4B91-B583-FF2497567E52}"/>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0067" t="3612" r="29520" b="5862"/>
        <a:stretch/>
      </xdr:blipFill>
      <xdr:spPr>
        <a:xfrm>
          <a:off x="7734301" y="66107731"/>
          <a:ext cx="245685" cy="550335"/>
        </a:xfrm>
        <a:prstGeom prst="rect">
          <a:avLst/>
        </a:prstGeom>
      </xdr:spPr>
    </xdr:pic>
    <xdr:clientData/>
  </xdr:oneCellAnchor>
  <xdr:oneCellAnchor>
    <xdr:from>
      <xdr:col>8</xdr:col>
      <xdr:colOff>232832</xdr:colOff>
      <xdr:row>106</xdr:row>
      <xdr:rowOff>29586</xdr:rowOff>
    </xdr:from>
    <xdr:ext cx="356356" cy="563081"/>
    <xdr:pic>
      <xdr:nvPicPr>
        <xdr:cNvPr id="44" name="Picture 43">
          <a:extLst>
            <a:ext uri="{FF2B5EF4-FFF2-40B4-BE49-F238E27FC236}">
              <a16:creationId xmlns="" xmlns:a16="http://schemas.microsoft.com/office/drawing/2014/main" id="{DE7CBB0A-80AE-45FA-A9D0-C16817C54CBF}"/>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22575" t="3879" r="18906" b="3655"/>
        <a:stretch/>
      </xdr:blipFill>
      <xdr:spPr>
        <a:xfrm>
          <a:off x="7681382" y="66723636"/>
          <a:ext cx="356356" cy="563081"/>
        </a:xfrm>
        <a:prstGeom prst="rect">
          <a:avLst/>
        </a:prstGeom>
      </xdr:spPr>
    </xdr:pic>
    <xdr:clientData/>
  </xdr:oneCellAnchor>
  <xdr:oneCellAnchor>
    <xdr:from>
      <xdr:col>8</xdr:col>
      <xdr:colOff>222247</xdr:colOff>
      <xdr:row>38</xdr:row>
      <xdr:rowOff>42332</xdr:rowOff>
    </xdr:from>
    <xdr:ext cx="350021" cy="550334"/>
    <xdr:pic>
      <xdr:nvPicPr>
        <xdr:cNvPr id="45" name="Picture 44">
          <a:extLst>
            <a:ext uri="{FF2B5EF4-FFF2-40B4-BE49-F238E27FC236}">
              <a16:creationId xmlns="" xmlns:a16="http://schemas.microsoft.com/office/drawing/2014/main" id="{19D131A6-CA62-4208-972F-6D9B854E5DDC}"/>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24459" t="7703" r="21872" b="7914"/>
        <a:stretch/>
      </xdr:blipFill>
      <xdr:spPr>
        <a:xfrm>
          <a:off x="7670797" y="23988182"/>
          <a:ext cx="350021" cy="550334"/>
        </a:xfrm>
        <a:prstGeom prst="rect">
          <a:avLst/>
        </a:prstGeom>
      </xdr:spPr>
    </xdr:pic>
    <xdr:clientData/>
  </xdr:oneCellAnchor>
  <xdr:oneCellAnchor>
    <xdr:from>
      <xdr:col>8</xdr:col>
      <xdr:colOff>254001</xdr:colOff>
      <xdr:row>80</xdr:row>
      <xdr:rowOff>52915</xdr:rowOff>
    </xdr:from>
    <xdr:ext cx="333782" cy="529167"/>
    <xdr:pic>
      <xdr:nvPicPr>
        <xdr:cNvPr id="46" name="Picture 45">
          <a:extLst>
            <a:ext uri="{FF2B5EF4-FFF2-40B4-BE49-F238E27FC236}">
              <a16:creationId xmlns="" xmlns:a16="http://schemas.microsoft.com/office/drawing/2014/main" id="{19AD1ED4-6A0F-4342-AF3E-6671666885D9}"/>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25373" t="8294" r="21605" b="7647"/>
        <a:stretch/>
      </xdr:blipFill>
      <xdr:spPr>
        <a:xfrm>
          <a:off x="7702551" y="50402065"/>
          <a:ext cx="333782" cy="529167"/>
        </a:xfrm>
        <a:prstGeom prst="rect">
          <a:avLst/>
        </a:prstGeom>
      </xdr:spPr>
    </xdr:pic>
    <xdr:clientData/>
  </xdr:oneCellAnchor>
  <xdr:oneCellAnchor>
    <xdr:from>
      <xdr:col>8</xdr:col>
      <xdr:colOff>254001</xdr:colOff>
      <xdr:row>107</xdr:row>
      <xdr:rowOff>52916</xdr:rowOff>
    </xdr:from>
    <xdr:ext cx="323606" cy="529167"/>
    <xdr:pic>
      <xdr:nvPicPr>
        <xdr:cNvPr id="47" name="Picture 46">
          <a:extLst>
            <a:ext uri="{FF2B5EF4-FFF2-40B4-BE49-F238E27FC236}">
              <a16:creationId xmlns="" xmlns:a16="http://schemas.microsoft.com/office/drawing/2014/main" id="{A5C9992D-DFE3-4A01-B132-005AD3BEFC35}"/>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24670" t="8239" r="23924" b="7702"/>
        <a:stretch/>
      </xdr:blipFill>
      <xdr:spPr>
        <a:xfrm>
          <a:off x="7702551" y="67375616"/>
          <a:ext cx="323606" cy="529167"/>
        </a:xfrm>
        <a:prstGeom prst="rect">
          <a:avLst/>
        </a:prstGeom>
      </xdr:spPr>
    </xdr:pic>
    <xdr:clientData/>
  </xdr:oneCellAnchor>
  <xdr:oneCellAnchor>
    <xdr:from>
      <xdr:col>8</xdr:col>
      <xdr:colOff>184963</xdr:colOff>
      <xdr:row>60</xdr:row>
      <xdr:rowOff>63500</xdr:rowOff>
    </xdr:from>
    <xdr:ext cx="492369" cy="508000"/>
    <xdr:pic>
      <xdr:nvPicPr>
        <xdr:cNvPr id="48" name="Picture 47">
          <a:extLst>
            <a:ext uri="{FF2B5EF4-FFF2-40B4-BE49-F238E27FC236}">
              <a16:creationId xmlns="" xmlns:a16="http://schemas.microsoft.com/office/drawing/2014/main" id="{7D833500-6C82-4136-947C-996A9D3FBB5D}"/>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0930" t="9899" r="7839" b="6292"/>
        <a:stretch/>
      </xdr:blipFill>
      <xdr:spPr>
        <a:xfrm>
          <a:off x="7633513" y="37839650"/>
          <a:ext cx="492369" cy="508000"/>
        </a:xfrm>
        <a:prstGeom prst="rect">
          <a:avLst/>
        </a:prstGeom>
      </xdr:spPr>
    </xdr:pic>
    <xdr:clientData/>
  </xdr:oneCellAnchor>
  <xdr:oneCellAnchor>
    <xdr:from>
      <xdr:col>8</xdr:col>
      <xdr:colOff>158747</xdr:colOff>
      <xdr:row>34</xdr:row>
      <xdr:rowOff>33515</xdr:rowOff>
    </xdr:from>
    <xdr:ext cx="571500" cy="559153"/>
    <xdr:pic>
      <xdr:nvPicPr>
        <xdr:cNvPr id="49" name="Picture 48">
          <a:extLst>
            <a:ext uri="{FF2B5EF4-FFF2-40B4-BE49-F238E27FC236}">
              <a16:creationId xmlns="" xmlns:a16="http://schemas.microsoft.com/office/drawing/2014/main" id="{7AA67D3A-7C30-4174-9F36-230B921B7BA2}"/>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2129" t="10841" r="4319" b="7413"/>
        <a:stretch/>
      </xdr:blipFill>
      <xdr:spPr>
        <a:xfrm>
          <a:off x="7607297" y="21464765"/>
          <a:ext cx="571500" cy="559153"/>
        </a:xfrm>
        <a:prstGeom prst="rect">
          <a:avLst/>
        </a:prstGeom>
      </xdr:spPr>
    </xdr:pic>
    <xdr:clientData/>
  </xdr:oneCellAnchor>
  <xdr:oneCellAnchor>
    <xdr:from>
      <xdr:col>8</xdr:col>
      <xdr:colOff>158749</xdr:colOff>
      <xdr:row>61</xdr:row>
      <xdr:rowOff>39957</xdr:rowOff>
    </xdr:from>
    <xdr:ext cx="508000" cy="563293"/>
    <xdr:pic>
      <xdr:nvPicPr>
        <xdr:cNvPr id="50" name="Picture 49">
          <a:extLst>
            <a:ext uri="{FF2B5EF4-FFF2-40B4-BE49-F238E27FC236}">
              <a16:creationId xmlns="" xmlns:a16="http://schemas.microsoft.com/office/drawing/2014/main" id="{578CA539-60DF-47AC-98B2-C3BCF477EE01}"/>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3632" t="9249" r="10553" b="6684"/>
        <a:stretch/>
      </xdr:blipFill>
      <xdr:spPr>
        <a:xfrm>
          <a:off x="7607299" y="38444757"/>
          <a:ext cx="508000" cy="563293"/>
        </a:xfrm>
        <a:prstGeom prst="rect">
          <a:avLst/>
        </a:prstGeom>
      </xdr:spPr>
    </xdr:pic>
    <xdr:clientData/>
  </xdr:oneCellAnchor>
  <xdr:oneCellAnchor>
    <xdr:from>
      <xdr:col>8</xdr:col>
      <xdr:colOff>205459</xdr:colOff>
      <xdr:row>45</xdr:row>
      <xdr:rowOff>42334</xdr:rowOff>
    </xdr:from>
    <xdr:ext cx="410469" cy="539750"/>
    <xdr:pic>
      <xdr:nvPicPr>
        <xdr:cNvPr id="51" name="Picture 50">
          <a:extLst>
            <a:ext uri="{FF2B5EF4-FFF2-40B4-BE49-F238E27FC236}">
              <a16:creationId xmlns="" xmlns:a16="http://schemas.microsoft.com/office/drawing/2014/main" id="{21D895C5-7A80-4166-A46D-23CECAF958EF}"/>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7973" t="7141" r="16528" b="6729"/>
        <a:stretch/>
      </xdr:blipFill>
      <xdr:spPr>
        <a:xfrm>
          <a:off x="7654009" y="28388734"/>
          <a:ext cx="410469" cy="539750"/>
        </a:xfrm>
        <a:prstGeom prst="rect">
          <a:avLst/>
        </a:prstGeom>
      </xdr:spPr>
    </xdr:pic>
    <xdr:clientData/>
  </xdr:oneCellAnchor>
  <xdr:oneCellAnchor>
    <xdr:from>
      <xdr:col>8</xdr:col>
      <xdr:colOff>179918</xdr:colOff>
      <xdr:row>76</xdr:row>
      <xdr:rowOff>52915</xdr:rowOff>
    </xdr:from>
    <xdr:ext cx="438194" cy="529169"/>
    <xdr:pic>
      <xdr:nvPicPr>
        <xdr:cNvPr id="52" name="Picture 51">
          <a:extLst>
            <a:ext uri="{FF2B5EF4-FFF2-40B4-BE49-F238E27FC236}">
              <a16:creationId xmlns="" xmlns:a16="http://schemas.microsoft.com/office/drawing/2014/main" id="{8F8A6BB3-8CDF-4A90-8E66-3E171A65F4E5}"/>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3544" t="4260" r="11931" b="5742"/>
        <a:stretch/>
      </xdr:blipFill>
      <xdr:spPr>
        <a:xfrm>
          <a:off x="7628468" y="47887465"/>
          <a:ext cx="438194" cy="529169"/>
        </a:xfrm>
        <a:prstGeom prst="rect">
          <a:avLst/>
        </a:prstGeom>
      </xdr:spPr>
    </xdr:pic>
    <xdr:clientData/>
  </xdr:oneCellAnchor>
  <xdr:oneCellAnchor>
    <xdr:from>
      <xdr:col>8</xdr:col>
      <xdr:colOff>74084</xdr:colOff>
      <xdr:row>62</xdr:row>
      <xdr:rowOff>179917</xdr:rowOff>
    </xdr:from>
    <xdr:ext cx="721607" cy="264589"/>
    <xdr:pic>
      <xdr:nvPicPr>
        <xdr:cNvPr id="53" name="Picture 52">
          <a:extLst>
            <a:ext uri="{FF2B5EF4-FFF2-40B4-BE49-F238E27FC236}">
              <a16:creationId xmlns="" xmlns:a16="http://schemas.microsoft.com/office/drawing/2014/main" id="{A77188AA-A812-4915-9FDC-34CD5801B305}"/>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4209" t="38359" r="3089" b="27739"/>
        <a:stretch/>
      </xdr:blipFill>
      <xdr:spPr>
        <a:xfrm>
          <a:off x="7522634" y="39213367"/>
          <a:ext cx="721607" cy="264589"/>
        </a:xfrm>
        <a:prstGeom prst="rect">
          <a:avLst/>
        </a:prstGeom>
      </xdr:spPr>
    </xdr:pic>
    <xdr:clientData/>
  </xdr:oneCellAnchor>
  <xdr:oneCellAnchor>
    <xdr:from>
      <xdr:col>8</xdr:col>
      <xdr:colOff>95248</xdr:colOff>
      <xdr:row>24</xdr:row>
      <xdr:rowOff>82714</xdr:rowOff>
    </xdr:from>
    <xdr:ext cx="666749" cy="483126"/>
    <xdr:pic>
      <xdr:nvPicPr>
        <xdr:cNvPr id="54" name="Picture 53">
          <a:extLst>
            <a:ext uri="{FF2B5EF4-FFF2-40B4-BE49-F238E27FC236}">
              <a16:creationId xmlns="" xmlns:a16="http://schemas.microsoft.com/office/drawing/2014/main" id="{AA6C862A-141A-47BE-A98A-354646B424A4}"/>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108" t="19643" r="1447" b="10473"/>
        <a:stretch/>
      </xdr:blipFill>
      <xdr:spPr>
        <a:xfrm>
          <a:off x="7543798" y="15227464"/>
          <a:ext cx="666749" cy="483126"/>
        </a:xfrm>
        <a:prstGeom prst="rect">
          <a:avLst/>
        </a:prstGeom>
      </xdr:spPr>
    </xdr:pic>
    <xdr:clientData/>
  </xdr:oneCellAnchor>
  <xdr:oneCellAnchor>
    <xdr:from>
      <xdr:col>8</xdr:col>
      <xdr:colOff>105832</xdr:colOff>
      <xdr:row>64</xdr:row>
      <xdr:rowOff>38533</xdr:rowOff>
    </xdr:from>
    <xdr:ext cx="592666" cy="554134"/>
    <xdr:pic>
      <xdr:nvPicPr>
        <xdr:cNvPr id="55" name="Picture 54">
          <a:extLst>
            <a:ext uri="{FF2B5EF4-FFF2-40B4-BE49-F238E27FC236}">
              <a16:creationId xmlns="" xmlns:a16="http://schemas.microsoft.com/office/drawing/2014/main" id="{B1A2C1AF-8E91-4302-8DA0-45938DDF420B}"/>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9799" t="11861" r="6907" b="10260"/>
        <a:stretch/>
      </xdr:blipFill>
      <xdr:spPr>
        <a:xfrm>
          <a:off x="7554382" y="40329283"/>
          <a:ext cx="592666" cy="554134"/>
        </a:xfrm>
        <a:prstGeom prst="rect">
          <a:avLst/>
        </a:prstGeom>
      </xdr:spPr>
    </xdr:pic>
    <xdr:clientData/>
  </xdr:oneCellAnchor>
  <xdr:oneCellAnchor>
    <xdr:from>
      <xdr:col>8</xdr:col>
      <xdr:colOff>222251</xdr:colOff>
      <xdr:row>150</xdr:row>
      <xdr:rowOff>31750</xdr:rowOff>
    </xdr:from>
    <xdr:ext cx="400968" cy="548924"/>
    <xdr:pic>
      <xdr:nvPicPr>
        <xdr:cNvPr id="56" name="Picture 55">
          <a:extLst>
            <a:ext uri="{FF2B5EF4-FFF2-40B4-BE49-F238E27FC236}">
              <a16:creationId xmlns="" xmlns:a16="http://schemas.microsoft.com/office/drawing/2014/main" id="{1F62EE56-B62E-4FC9-9FBF-84DC95A5B9C8}"/>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7670801" y="94386400"/>
          <a:ext cx="400968" cy="54892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263621</xdr:colOff>
      <xdr:row>56</xdr:row>
      <xdr:rowOff>31752</xdr:rowOff>
    </xdr:from>
    <xdr:ext cx="254962" cy="560916"/>
    <xdr:pic>
      <xdr:nvPicPr>
        <xdr:cNvPr id="57" name="Picture 56">
          <a:extLst>
            <a:ext uri="{FF2B5EF4-FFF2-40B4-BE49-F238E27FC236}">
              <a16:creationId xmlns="" xmlns:a16="http://schemas.microsoft.com/office/drawing/2014/main" id="{EA427DCB-90DE-4D8B-B91F-C8642E2E70ED}"/>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9167" t="7812" r="32639" b="8160"/>
        <a:stretch/>
      </xdr:blipFill>
      <xdr:spPr>
        <a:xfrm>
          <a:off x="7712171" y="35293302"/>
          <a:ext cx="254962" cy="560916"/>
        </a:xfrm>
        <a:prstGeom prst="rect">
          <a:avLst/>
        </a:prstGeom>
      </xdr:spPr>
    </xdr:pic>
    <xdr:clientData/>
  </xdr:oneCellAnchor>
  <xdr:oneCellAnchor>
    <xdr:from>
      <xdr:col>8</xdr:col>
      <xdr:colOff>201083</xdr:colOff>
      <xdr:row>52</xdr:row>
      <xdr:rowOff>63500</xdr:rowOff>
    </xdr:from>
    <xdr:ext cx="391583" cy="483859"/>
    <xdr:pic>
      <xdr:nvPicPr>
        <xdr:cNvPr id="58" name="Picture 57">
          <a:extLst>
            <a:ext uri="{FF2B5EF4-FFF2-40B4-BE49-F238E27FC236}">
              <a16:creationId xmlns="" xmlns:a16="http://schemas.microsoft.com/office/drawing/2014/main" id="{519ABC2E-B6F1-4FDD-A5ED-EA49432901AD}"/>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8337" t="10534" r="17096" b="9683"/>
        <a:stretch/>
      </xdr:blipFill>
      <xdr:spPr>
        <a:xfrm>
          <a:off x="7649633" y="32810450"/>
          <a:ext cx="391583" cy="483859"/>
        </a:xfrm>
        <a:prstGeom prst="rect">
          <a:avLst/>
        </a:prstGeom>
      </xdr:spPr>
    </xdr:pic>
    <xdr:clientData/>
  </xdr:oneCellAnchor>
  <xdr:oneCellAnchor>
    <xdr:from>
      <xdr:col>8</xdr:col>
      <xdr:colOff>42336</xdr:colOff>
      <xdr:row>97</xdr:row>
      <xdr:rowOff>105833</xdr:rowOff>
    </xdr:from>
    <xdr:ext cx="762000" cy="441854"/>
    <xdr:pic>
      <xdr:nvPicPr>
        <xdr:cNvPr id="59" name="Picture 58">
          <a:extLst>
            <a:ext uri="{FF2B5EF4-FFF2-40B4-BE49-F238E27FC236}">
              <a16:creationId xmlns="" xmlns:a16="http://schemas.microsoft.com/office/drawing/2014/main" id="{73D731FE-0CFD-4E28-A20B-8C5D1867E96A}"/>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8485" t="25266" r="7242" b="25868"/>
        <a:stretch/>
      </xdr:blipFill>
      <xdr:spPr>
        <a:xfrm>
          <a:off x="7490886" y="61142033"/>
          <a:ext cx="762000" cy="441854"/>
        </a:xfrm>
        <a:prstGeom prst="rect">
          <a:avLst/>
        </a:prstGeom>
      </xdr:spPr>
    </xdr:pic>
    <xdr:clientData/>
  </xdr:oneCellAnchor>
  <xdr:oneCellAnchor>
    <xdr:from>
      <xdr:col>8</xdr:col>
      <xdr:colOff>84667</xdr:colOff>
      <xdr:row>98</xdr:row>
      <xdr:rowOff>74084</xdr:rowOff>
    </xdr:from>
    <xdr:ext cx="690676" cy="476250"/>
    <xdr:pic>
      <xdr:nvPicPr>
        <xdr:cNvPr id="60" name="Picture 59">
          <a:extLst>
            <a:ext uri="{FF2B5EF4-FFF2-40B4-BE49-F238E27FC236}">
              <a16:creationId xmlns="" xmlns:a16="http://schemas.microsoft.com/office/drawing/2014/main" id="{90A69702-9426-48B6-B801-4EA0F9AF890F}"/>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4045" t="18778" r="6415" b="19480"/>
        <a:stretch/>
      </xdr:blipFill>
      <xdr:spPr>
        <a:xfrm>
          <a:off x="7533217" y="61738934"/>
          <a:ext cx="690676" cy="476250"/>
        </a:xfrm>
        <a:prstGeom prst="rect">
          <a:avLst/>
        </a:prstGeom>
      </xdr:spPr>
    </xdr:pic>
    <xdr:clientData/>
  </xdr:oneCellAnchor>
  <xdr:oneCellAnchor>
    <xdr:from>
      <xdr:col>8</xdr:col>
      <xdr:colOff>137582</xdr:colOff>
      <xdr:row>78</xdr:row>
      <xdr:rowOff>52915</xdr:rowOff>
    </xdr:from>
    <xdr:ext cx="523928" cy="539751"/>
    <xdr:pic>
      <xdr:nvPicPr>
        <xdr:cNvPr id="61" name="Picture 60">
          <a:extLst>
            <a:ext uri="{FF2B5EF4-FFF2-40B4-BE49-F238E27FC236}">
              <a16:creationId xmlns="" xmlns:a16="http://schemas.microsoft.com/office/drawing/2014/main" id="{2857D605-AA25-424D-8F2A-68403668A371}"/>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7507" t="4682" r="5294" b="5485"/>
        <a:stretch/>
      </xdr:blipFill>
      <xdr:spPr>
        <a:xfrm>
          <a:off x="7586132" y="49144765"/>
          <a:ext cx="523928" cy="539751"/>
        </a:xfrm>
        <a:prstGeom prst="rect">
          <a:avLst/>
        </a:prstGeom>
      </xdr:spPr>
    </xdr:pic>
    <xdr:clientData/>
  </xdr:oneCellAnchor>
  <xdr:oneCellAnchor>
    <xdr:from>
      <xdr:col>8</xdr:col>
      <xdr:colOff>148168</xdr:colOff>
      <xdr:row>113</xdr:row>
      <xdr:rowOff>42333</xdr:rowOff>
    </xdr:from>
    <xdr:ext cx="539288" cy="539664"/>
    <xdr:pic>
      <xdr:nvPicPr>
        <xdr:cNvPr id="62" name="Picture 61">
          <a:extLst>
            <a:ext uri="{FF2B5EF4-FFF2-40B4-BE49-F238E27FC236}">
              <a16:creationId xmlns="" xmlns:a16="http://schemas.microsoft.com/office/drawing/2014/main" id="{43C7B642-278C-4D2A-8F33-FD68ABB3BB7A}"/>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596718" y="71136933"/>
          <a:ext cx="539288" cy="539664"/>
        </a:xfrm>
        <a:prstGeom prst="rect">
          <a:avLst/>
        </a:prstGeom>
      </xdr:spPr>
    </xdr:pic>
    <xdr:clientData/>
  </xdr:oneCellAnchor>
  <xdr:oneCellAnchor>
    <xdr:from>
      <xdr:col>8</xdr:col>
      <xdr:colOff>126999</xdr:colOff>
      <xdr:row>114</xdr:row>
      <xdr:rowOff>63501</xdr:rowOff>
    </xdr:from>
    <xdr:ext cx="607073" cy="465666"/>
    <xdr:pic>
      <xdr:nvPicPr>
        <xdr:cNvPr id="63" name="Picture 62">
          <a:extLst>
            <a:ext uri="{FF2B5EF4-FFF2-40B4-BE49-F238E27FC236}">
              <a16:creationId xmlns="" xmlns:a16="http://schemas.microsoft.com/office/drawing/2014/main" id="{3E4658D3-164C-45CD-A60E-AB253EF1B6FF}"/>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4332" t="6257" r="4474" b="7525"/>
        <a:stretch/>
      </xdr:blipFill>
      <xdr:spPr>
        <a:xfrm>
          <a:off x="7575549" y="71786751"/>
          <a:ext cx="607073" cy="465666"/>
        </a:xfrm>
        <a:prstGeom prst="rect">
          <a:avLst/>
        </a:prstGeom>
      </xdr:spPr>
    </xdr:pic>
    <xdr:clientData/>
  </xdr:oneCellAnchor>
  <xdr:oneCellAnchor>
    <xdr:from>
      <xdr:col>8</xdr:col>
      <xdr:colOff>148168</xdr:colOff>
      <xdr:row>72</xdr:row>
      <xdr:rowOff>61880</xdr:rowOff>
    </xdr:from>
    <xdr:ext cx="550334" cy="477870"/>
    <xdr:pic>
      <xdr:nvPicPr>
        <xdr:cNvPr id="64" name="Picture 63">
          <a:extLst>
            <a:ext uri="{FF2B5EF4-FFF2-40B4-BE49-F238E27FC236}">
              <a16:creationId xmlns="" xmlns:a16="http://schemas.microsoft.com/office/drawing/2014/main" id="{8F24E6BA-1E46-4FD6-A9D5-79AC39D9D6E4}"/>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6608" t="5824" r="7630" b="6221"/>
        <a:stretch/>
      </xdr:blipFill>
      <xdr:spPr>
        <a:xfrm>
          <a:off x="7596718" y="45381830"/>
          <a:ext cx="550334" cy="477870"/>
        </a:xfrm>
        <a:prstGeom prst="rect">
          <a:avLst/>
        </a:prstGeom>
      </xdr:spPr>
    </xdr:pic>
    <xdr:clientData/>
  </xdr:oneCellAnchor>
  <xdr:oneCellAnchor>
    <xdr:from>
      <xdr:col>8</xdr:col>
      <xdr:colOff>158747</xdr:colOff>
      <xdr:row>41</xdr:row>
      <xdr:rowOff>47971</xdr:rowOff>
    </xdr:from>
    <xdr:ext cx="544285" cy="534112"/>
    <xdr:pic>
      <xdr:nvPicPr>
        <xdr:cNvPr id="65" name="Picture 64">
          <a:extLst>
            <a:ext uri="{FF2B5EF4-FFF2-40B4-BE49-F238E27FC236}">
              <a16:creationId xmlns="" xmlns:a16="http://schemas.microsoft.com/office/drawing/2014/main" id="{8DF44E49-581C-4546-88B6-46C49F88BFD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5751" t="8576" r="6354" b="5674"/>
        <a:stretch/>
      </xdr:blipFill>
      <xdr:spPr>
        <a:xfrm>
          <a:off x="7607297" y="25879771"/>
          <a:ext cx="544285" cy="534112"/>
        </a:xfrm>
        <a:prstGeom prst="rect">
          <a:avLst/>
        </a:prstGeom>
      </xdr:spPr>
    </xdr:pic>
    <xdr:clientData/>
  </xdr:oneCellAnchor>
  <xdr:oneCellAnchor>
    <xdr:from>
      <xdr:col>8</xdr:col>
      <xdr:colOff>74083</xdr:colOff>
      <xdr:row>115</xdr:row>
      <xdr:rowOff>74084</xdr:rowOff>
    </xdr:from>
    <xdr:ext cx="714426" cy="497416"/>
    <xdr:pic>
      <xdr:nvPicPr>
        <xdr:cNvPr id="66" name="Picture 65">
          <a:extLst>
            <a:ext uri="{FF2B5EF4-FFF2-40B4-BE49-F238E27FC236}">
              <a16:creationId xmlns="" xmlns:a16="http://schemas.microsoft.com/office/drawing/2014/main" id="{4462DFD3-27DF-421B-B975-20727CD6B2BE}"/>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6007" t="23780" r="5224" b="14414"/>
        <a:stretch/>
      </xdr:blipFill>
      <xdr:spPr>
        <a:xfrm>
          <a:off x="7522633" y="72425984"/>
          <a:ext cx="714426" cy="497416"/>
        </a:xfrm>
        <a:prstGeom prst="rect">
          <a:avLst/>
        </a:prstGeom>
      </xdr:spPr>
    </xdr:pic>
    <xdr:clientData/>
  </xdr:oneCellAnchor>
  <xdr:oneCellAnchor>
    <xdr:from>
      <xdr:col>8</xdr:col>
      <xdr:colOff>56586</xdr:colOff>
      <xdr:row>31</xdr:row>
      <xdr:rowOff>127002</xdr:rowOff>
    </xdr:from>
    <xdr:ext cx="728050" cy="402167"/>
    <xdr:pic>
      <xdr:nvPicPr>
        <xdr:cNvPr id="67" name="Picture 66">
          <a:extLst>
            <a:ext uri="{FF2B5EF4-FFF2-40B4-BE49-F238E27FC236}">
              <a16:creationId xmlns="" xmlns:a16="http://schemas.microsoft.com/office/drawing/2014/main" id="{AF16A07D-7C8B-409C-9ADB-A20BD9D96A35}"/>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t="27631" b="17131"/>
        <a:stretch/>
      </xdr:blipFill>
      <xdr:spPr>
        <a:xfrm>
          <a:off x="7505136" y="19672302"/>
          <a:ext cx="728050" cy="402167"/>
        </a:xfrm>
        <a:prstGeom prst="rect">
          <a:avLst/>
        </a:prstGeom>
      </xdr:spPr>
    </xdr:pic>
    <xdr:clientData/>
  </xdr:oneCellAnchor>
  <xdr:oneCellAnchor>
    <xdr:from>
      <xdr:col>8</xdr:col>
      <xdr:colOff>296333</xdr:colOff>
      <xdr:row>116</xdr:row>
      <xdr:rowOff>84666</xdr:rowOff>
    </xdr:from>
    <xdr:ext cx="331612" cy="497417"/>
    <xdr:pic>
      <xdr:nvPicPr>
        <xdr:cNvPr id="68" name="Picture 67">
          <a:extLst>
            <a:ext uri="{FF2B5EF4-FFF2-40B4-BE49-F238E27FC236}">
              <a16:creationId xmlns="" xmlns:a16="http://schemas.microsoft.com/office/drawing/2014/main" id="{5527C680-2824-40B8-989B-698172467A2B}"/>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21228" t="5313" r="21523" b="8812"/>
        <a:stretch/>
      </xdr:blipFill>
      <xdr:spPr>
        <a:xfrm>
          <a:off x="7744883" y="73065216"/>
          <a:ext cx="331612" cy="497417"/>
        </a:xfrm>
        <a:prstGeom prst="rect">
          <a:avLst/>
        </a:prstGeom>
      </xdr:spPr>
    </xdr:pic>
    <xdr:clientData/>
  </xdr:oneCellAnchor>
  <xdr:oneCellAnchor>
    <xdr:from>
      <xdr:col>8</xdr:col>
      <xdr:colOff>264582</xdr:colOff>
      <xdr:row>73</xdr:row>
      <xdr:rowOff>74083</xdr:rowOff>
    </xdr:from>
    <xdr:ext cx="349251" cy="476251"/>
    <xdr:pic>
      <xdr:nvPicPr>
        <xdr:cNvPr id="69" name="Picture 68">
          <a:extLst>
            <a:ext uri="{FF2B5EF4-FFF2-40B4-BE49-F238E27FC236}">
              <a16:creationId xmlns="" xmlns:a16="http://schemas.microsoft.com/office/drawing/2014/main" id="{68021063-3833-4436-A120-CED488141631}"/>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19564" t="9117" r="20293" b="8868"/>
        <a:stretch/>
      </xdr:blipFill>
      <xdr:spPr>
        <a:xfrm>
          <a:off x="7713132" y="46022683"/>
          <a:ext cx="349251" cy="476251"/>
        </a:xfrm>
        <a:prstGeom prst="rect">
          <a:avLst/>
        </a:prstGeom>
      </xdr:spPr>
    </xdr:pic>
    <xdr:clientData/>
  </xdr:oneCellAnchor>
  <xdr:oneCellAnchor>
    <xdr:from>
      <xdr:col>8</xdr:col>
      <xdr:colOff>264584</xdr:colOff>
      <xdr:row>95</xdr:row>
      <xdr:rowOff>42334</xdr:rowOff>
    </xdr:from>
    <xdr:ext cx="333663" cy="539750"/>
    <xdr:pic>
      <xdr:nvPicPr>
        <xdr:cNvPr id="70" name="Picture 69">
          <a:extLst>
            <a:ext uri="{FF2B5EF4-FFF2-40B4-BE49-F238E27FC236}">
              <a16:creationId xmlns="" xmlns:a16="http://schemas.microsoft.com/office/drawing/2014/main" id="{CB83256C-FE01-4B07-8D55-733F152A70DD}"/>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22081" t="6488" r="23243" b="5064"/>
        <a:stretch/>
      </xdr:blipFill>
      <xdr:spPr>
        <a:xfrm>
          <a:off x="7713134" y="59821234"/>
          <a:ext cx="333663" cy="539750"/>
        </a:xfrm>
        <a:prstGeom prst="rect">
          <a:avLst/>
        </a:prstGeom>
      </xdr:spPr>
    </xdr:pic>
    <xdr:clientData/>
  </xdr:oneCellAnchor>
  <xdr:oneCellAnchor>
    <xdr:from>
      <xdr:col>8</xdr:col>
      <xdr:colOff>95250</xdr:colOff>
      <xdr:row>50</xdr:row>
      <xdr:rowOff>74083</xdr:rowOff>
    </xdr:from>
    <xdr:ext cx="581266" cy="455084"/>
    <xdr:pic>
      <xdr:nvPicPr>
        <xdr:cNvPr id="71" name="Picture 70">
          <a:extLst>
            <a:ext uri="{FF2B5EF4-FFF2-40B4-BE49-F238E27FC236}">
              <a16:creationId xmlns="" xmlns:a16="http://schemas.microsoft.com/office/drawing/2014/main" id="{51B4F86C-BB3D-4DE9-87B9-31F86BB92E5A}"/>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5624" t="18976" r="4000" b="10266"/>
        <a:stretch/>
      </xdr:blipFill>
      <xdr:spPr>
        <a:xfrm>
          <a:off x="7543800" y="31563733"/>
          <a:ext cx="581266" cy="455084"/>
        </a:xfrm>
        <a:prstGeom prst="rect">
          <a:avLst/>
        </a:prstGeom>
      </xdr:spPr>
    </xdr:pic>
    <xdr:clientData/>
  </xdr:oneCellAnchor>
  <xdr:oneCellAnchor>
    <xdr:from>
      <xdr:col>8</xdr:col>
      <xdr:colOff>201083</xdr:colOff>
      <xdr:row>9</xdr:row>
      <xdr:rowOff>54556</xdr:rowOff>
    </xdr:from>
    <xdr:ext cx="465667" cy="548693"/>
    <xdr:pic>
      <xdr:nvPicPr>
        <xdr:cNvPr id="72" name="Picture 71">
          <a:extLst>
            <a:ext uri="{FF2B5EF4-FFF2-40B4-BE49-F238E27FC236}">
              <a16:creationId xmlns="" xmlns:a16="http://schemas.microsoft.com/office/drawing/2014/main" id="{F9B31D2B-2869-4F9B-8C0B-A061FF644056}"/>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9811" t="4460" r="13495" b="5172"/>
        <a:stretch/>
      </xdr:blipFill>
      <xdr:spPr>
        <a:xfrm>
          <a:off x="7649633" y="5769556"/>
          <a:ext cx="465667" cy="548693"/>
        </a:xfrm>
        <a:prstGeom prst="rect">
          <a:avLst/>
        </a:prstGeom>
      </xdr:spPr>
    </xdr:pic>
    <xdr:clientData/>
  </xdr:oneCellAnchor>
  <xdr:oneCellAnchor>
    <xdr:from>
      <xdr:col>8</xdr:col>
      <xdr:colOff>169333</xdr:colOff>
      <xdr:row>19</xdr:row>
      <xdr:rowOff>52919</xdr:rowOff>
    </xdr:from>
    <xdr:ext cx="467961" cy="539750"/>
    <xdr:pic>
      <xdr:nvPicPr>
        <xdr:cNvPr id="73" name="Picture 72">
          <a:extLst>
            <a:ext uri="{FF2B5EF4-FFF2-40B4-BE49-F238E27FC236}">
              <a16:creationId xmlns="" xmlns:a16="http://schemas.microsoft.com/office/drawing/2014/main" id="{5FBC92AA-036D-45C2-9734-4AD5FD98EF66}"/>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12217" t="4796" r="8145" b="3349"/>
        <a:stretch/>
      </xdr:blipFill>
      <xdr:spPr>
        <a:xfrm>
          <a:off x="7617883" y="12054419"/>
          <a:ext cx="467961" cy="539750"/>
        </a:xfrm>
        <a:prstGeom prst="rect">
          <a:avLst/>
        </a:prstGeom>
      </xdr:spPr>
    </xdr:pic>
    <xdr:clientData/>
  </xdr:oneCellAnchor>
  <xdr:oneCellAnchor>
    <xdr:from>
      <xdr:col>8</xdr:col>
      <xdr:colOff>74086</xdr:colOff>
      <xdr:row>51</xdr:row>
      <xdr:rowOff>63500</xdr:rowOff>
    </xdr:from>
    <xdr:ext cx="662610" cy="508001"/>
    <xdr:pic>
      <xdr:nvPicPr>
        <xdr:cNvPr id="74" name="Picture 73">
          <a:extLst>
            <a:ext uri="{FF2B5EF4-FFF2-40B4-BE49-F238E27FC236}">
              <a16:creationId xmlns="" xmlns:a16="http://schemas.microsoft.com/office/drawing/2014/main" id="{6A0E9300-A6A6-4DA5-8626-DD11EFCE3CBF}"/>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15693" t="7153" r="17153" b="5256"/>
        <a:stretch/>
      </xdr:blipFill>
      <xdr:spPr>
        <a:xfrm rot="5400000">
          <a:off x="7599940" y="32104496"/>
          <a:ext cx="508001" cy="662610"/>
        </a:xfrm>
        <a:prstGeom prst="rect">
          <a:avLst/>
        </a:prstGeom>
      </xdr:spPr>
    </xdr:pic>
    <xdr:clientData/>
  </xdr:oneCellAnchor>
  <xdr:oneCellAnchor>
    <xdr:from>
      <xdr:col>8</xdr:col>
      <xdr:colOff>116417</xdr:colOff>
      <xdr:row>96</xdr:row>
      <xdr:rowOff>95250</xdr:rowOff>
    </xdr:from>
    <xdr:ext cx="605992" cy="455083"/>
    <xdr:pic>
      <xdr:nvPicPr>
        <xdr:cNvPr id="75" name="Picture 74">
          <a:extLst>
            <a:ext uri="{FF2B5EF4-FFF2-40B4-BE49-F238E27FC236}">
              <a16:creationId xmlns="" xmlns:a16="http://schemas.microsoft.com/office/drawing/2014/main" id="{7DD01649-77D8-405C-917B-CF54DA6A726D}"/>
            </a:ext>
          </a:extLst>
        </xdr:cNvPr>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2894" t="16280" r="4125" b="13893"/>
        <a:stretch/>
      </xdr:blipFill>
      <xdr:spPr>
        <a:xfrm>
          <a:off x="7564967" y="60502800"/>
          <a:ext cx="605992" cy="455083"/>
        </a:xfrm>
        <a:prstGeom prst="rect">
          <a:avLst/>
        </a:prstGeom>
      </xdr:spPr>
    </xdr:pic>
    <xdr:clientData/>
  </xdr:oneCellAnchor>
  <xdr:oneCellAnchor>
    <xdr:from>
      <xdr:col>8</xdr:col>
      <xdr:colOff>116417</xdr:colOff>
      <xdr:row>40</xdr:row>
      <xdr:rowOff>63500</xdr:rowOff>
    </xdr:from>
    <xdr:ext cx="586903" cy="486832"/>
    <xdr:pic>
      <xdr:nvPicPr>
        <xdr:cNvPr id="76" name="Picture 75">
          <a:extLst>
            <a:ext uri="{FF2B5EF4-FFF2-40B4-BE49-F238E27FC236}">
              <a16:creationId xmlns="" xmlns:a16="http://schemas.microsoft.com/office/drawing/2014/main" id="{472165CD-9C76-4003-8D07-5938804B014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7851" t="14411" r="6952" b="14919"/>
        <a:stretch/>
      </xdr:blipFill>
      <xdr:spPr>
        <a:xfrm>
          <a:off x="7564967" y="25266650"/>
          <a:ext cx="586903" cy="486832"/>
        </a:xfrm>
        <a:prstGeom prst="rect">
          <a:avLst/>
        </a:prstGeom>
      </xdr:spPr>
    </xdr:pic>
    <xdr:clientData/>
  </xdr:oneCellAnchor>
  <xdr:oneCellAnchor>
    <xdr:from>
      <xdr:col>8</xdr:col>
      <xdr:colOff>95250</xdr:colOff>
      <xdr:row>13</xdr:row>
      <xdr:rowOff>44739</xdr:rowOff>
    </xdr:from>
    <xdr:ext cx="613833" cy="516178"/>
    <xdr:pic>
      <xdr:nvPicPr>
        <xdr:cNvPr id="77" name="Picture 76">
          <a:extLst>
            <a:ext uri="{FF2B5EF4-FFF2-40B4-BE49-F238E27FC236}">
              <a16:creationId xmlns="" xmlns:a16="http://schemas.microsoft.com/office/drawing/2014/main" id="{DFB9D02E-5689-428C-A8E4-38391A0525DE}"/>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9747" t="13558" r="3877" b="13809"/>
        <a:stretch/>
      </xdr:blipFill>
      <xdr:spPr>
        <a:xfrm>
          <a:off x="7543800" y="8274339"/>
          <a:ext cx="613833" cy="516178"/>
        </a:xfrm>
        <a:prstGeom prst="rect">
          <a:avLst/>
        </a:prstGeom>
      </xdr:spPr>
    </xdr:pic>
    <xdr:clientData/>
  </xdr:oneCellAnchor>
  <xdr:oneCellAnchor>
    <xdr:from>
      <xdr:col>8</xdr:col>
      <xdr:colOff>74085</xdr:colOff>
      <xdr:row>30</xdr:row>
      <xdr:rowOff>63499</xdr:rowOff>
    </xdr:from>
    <xdr:ext cx="677024" cy="529168"/>
    <xdr:pic>
      <xdr:nvPicPr>
        <xdr:cNvPr id="78" name="Picture 77">
          <a:extLst>
            <a:ext uri="{FF2B5EF4-FFF2-40B4-BE49-F238E27FC236}">
              <a16:creationId xmlns="" xmlns:a16="http://schemas.microsoft.com/office/drawing/2014/main" id="{87AB99A1-2DEA-49B1-999C-555F7AB1000A}"/>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4078" t="18188" r="4593" b="10460"/>
        <a:stretch/>
      </xdr:blipFill>
      <xdr:spPr>
        <a:xfrm>
          <a:off x="7522635" y="18980149"/>
          <a:ext cx="677024" cy="529168"/>
        </a:xfrm>
        <a:prstGeom prst="rect">
          <a:avLst/>
        </a:prstGeom>
      </xdr:spPr>
    </xdr:pic>
    <xdr:clientData/>
  </xdr:oneCellAnchor>
  <xdr:oneCellAnchor>
    <xdr:from>
      <xdr:col>8</xdr:col>
      <xdr:colOff>32397</xdr:colOff>
      <xdr:row>121</xdr:row>
      <xdr:rowOff>63499</xdr:rowOff>
    </xdr:from>
    <xdr:ext cx="761352" cy="497417"/>
    <xdr:pic>
      <xdr:nvPicPr>
        <xdr:cNvPr id="79" name="Picture 78">
          <a:extLst>
            <a:ext uri="{FF2B5EF4-FFF2-40B4-BE49-F238E27FC236}">
              <a16:creationId xmlns="" xmlns:a16="http://schemas.microsoft.com/office/drawing/2014/main" id="{05223238-5549-45B0-B08C-03EEF9C42028}"/>
            </a:ext>
          </a:extLst>
        </xdr:cNvPr>
        <xdr:cNvPicPr>
          <a:picLocks noChangeAspect="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4370" t="20287" r="1998" b="18540"/>
        <a:stretch/>
      </xdr:blipFill>
      <xdr:spPr>
        <a:xfrm>
          <a:off x="7480947" y="76187299"/>
          <a:ext cx="761352" cy="497417"/>
        </a:xfrm>
        <a:prstGeom prst="rect">
          <a:avLst/>
        </a:prstGeom>
      </xdr:spPr>
    </xdr:pic>
    <xdr:clientData/>
  </xdr:oneCellAnchor>
  <xdr:oneCellAnchor>
    <xdr:from>
      <xdr:col>8</xdr:col>
      <xdr:colOff>285750</xdr:colOff>
      <xdr:row>129</xdr:row>
      <xdr:rowOff>74083</xdr:rowOff>
    </xdr:from>
    <xdr:ext cx="306211" cy="518583"/>
    <xdr:pic>
      <xdr:nvPicPr>
        <xdr:cNvPr id="80" name="Picture 79">
          <a:extLst>
            <a:ext uri="{FF2B5EF4-FFF2-40B4-BE49-F238E27FC236}">
              <a16:creationId xmlns="" xmlns:a16="http://schemas.microsoft.com/office/drawing/2014/main" id="{CADD0CF4-6B73-4ADD-8A1B-918DF84B5FAA}"/>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25845" t="9469" r="26321" b="9524"/>
        <a:stretch/>
      </xdr:blipFill>
      <xdr:spPr>
        <a:xfrm>
          <a:off x="7734300" y="81227083"/>
          <a:ext cx="306211" cy="518583"/>
        </a:xfrm>
        <a:prstGeom prst="rect">
          <a:avLst/>
        </a:prstGeom>
      </xdr:spPr>
    </xdr:pic>
    <xdr:clientData/>
  </xdr:oneCellAnchor>
  <xdr:oneCellAnchor>
    <xdr:from>
      <xdr:col>8</xdr:col>
      <xdr:colOff>63500</xdr:colOff>
      <xdr:row>87</xdr:row>
      <xdr:rowOff>95251</xdr:rowOff>
    </xdr:from>
    <xdr:ext cx="697329" cy="412749"/>
    <xdr:pic>
      <xdr:nvPicPr>
        <xdr:cNvPr id="81" name="Picture 80">
          <a:extLst>
            <a:ext uri="{FF2B5EF4-FFF2-40B4-BE49-F238E27FC236}">
              <a16:creationId xmlns="" xmlns:a16="http://schemas.microsoft.com/office/drawing/2014/main" id="{B8DCA761-3B71-469F-B8FA-8CF5C08105AA}"/>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10858" t="28864" r="7756" b="22964"/>
        <a:stretch/>
      </xdr:blipFill>
      <xdr:spPr>
        <a:xfrm>
          <a:off x="7512050" y="54844951"/>
          <a:ext cx="697329" cy="412749"/>
        </a:xfrm>
        <a:prstGeom prst="rect">
          <a:avLst/>
        </a:prstGeom>
      </xdr:spPr>
    </xdr:pic>
    <xdr:clientData/>
  </xdr:oneCellAnchor>
  <xdr:oneCellAnchor>
    <xdr:from>
      <xdr:col>8</xdr:col>
      <xdr:colOff>42334</xdr:colOff>
      <xdr:row>130</xdr:row>
      <xdr:rowOff>77786</xdr:rowOff>
    </xdr:from>
    <xdr:ext cx="754097" cy="493714"/>
    <xdr:pic>
      <xdr:nvPicPr>
        <xdr:cNvPr id="82" name="Picture 81">
          <a:extLst>
            <a:ext uri="{FF2B5EF4-FFF2-40B4-BE49-F238E27FC236}">
              <a16:creationId xmlns="" xmlns:a16="http://schemas.microsoft.com/office/drawing/2014/main" id="{B122BCBB-F7DB-4A69-BE6E-3E52AA8A8A6C}"/>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12172" t="31680" r="15741" b="21124"/>
        <a:stretch/>
      </xdr:blipFill>
      <xdr:spPr>
        <a:xfrm>
          <a:off x="7490884" y="81859436"/>
          <a:ext cx="754097" cy="493714"/>
        </a:xfrm>
        <a:prstGeom prst="rect">
          <a:avLst/>
        </a:prstGeom>
      </xdr:spPr>
    </xdr:pic>
    <xdr:clientData/>
  </xdr:oneCellAnchor>
  <xdr:oneCellAnchor>
    <xdr:from>
      <xdr:col>8</xdr:col>
      <xdr:colOff>63500</xdr:colOff>
      <xdr:row>28</xdr:row>
      <xdr:rowOff>31750</xdr:rowOff>
    </xdr:from>
    <xdr:ext cx="692349" cy="571500"/>
    <xdr:pic>
      <xdr:nvPicPr>
        <xdr:cNvPr id="83" name="Picture 82">
          <a:extLst>
            <a:ext uri="{FF2B5EF4-FFF2-40B4-BE49-F238E27FC236}">
              <a16:creationId xmlns="" xmlns:a16="http://schemas.microsoft.com/office/drawing/2014/main" id="{87E03348-7EF6-4515-B6AF-EAE71E2F7849}"/>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5481" t="14241" b="7737"/>
        <a:stretch/>
      </xdr:blipFill>
      <xdr:spPr>
        <a:xfrm>
          <a:off x="7512050" y="17691100"/>
          <a:ext cx="692349" cy="571500"/>
        </a:xfrm>
        <a:prstGeom prst="rect">
          <a:avLst/>
        </a:prstGeom>
      </xdr:spPr>
    </xdr:pic>
    <xdr:clientData/>
  </xdr:oneCellAnchor>
  <xdr:oneCellAnchor>
    <xdr:from>
      <xdr:col>8</xdr:col>
      <xdr:colOff>63499</xdr:colOff>
      <xdr:row>70</xdr:row>
      <xdr:rowOff>55421</xdr:rowOff>
    </xdr:from>
    <xdr:ext cx="603251" cy="547828"/>
    <xdr:pic>
      <xdr:nvPicPr>
        <xdr:cNvPr id="84" name="Picture 83">
          <a:extLst>
            <a:ext uri="{FF2B5EF4-FFF2-40B4-BE49-F238E27FC236}">
              <a16:creationId xmlns="" xmlns:a16="http://schemas.microsoft.com/office/drawing/2014/main" id="{9B670916-44CC-49B7-A25A-5284D4092081}"/>
            </a:ext>
          </a:extLst>
        </xdr:cNvPr>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3168" t="9028" r="5593" b="8115"/>
        <a:stretch/>
      </xdr:blipFill>
      <xdr:spPr>
        <a:xfrm>
          <a:off x="7512049" y="44118071"/>
          <a:ext cx="603251" cy="547828"/>
        </a:xfrm>
        <a:prstGeom prst="rect">
          <a:avLst/>
        </a:prstGeom>
      </xdr:spPr>
    </xdr:pic>
    <xdr:clientData/>
  </xdr:oneCellAnchor>
  <xdr:oneCellAnchor>
    <xdr:from>
      <xdr:col>8</xdr:col>
      <xdr:colOff>74084</xdr:colOff>
      <xdr:row>135</xdr:row>
      <xdr:rowOff>55470</xdr:rowOff>
    </xdr:from>
    <xdr:ext cx="687917" cy="526613"/>
    <xdr:pic>
      <xdr:nvPicPr>
        <xdr:cNvPr id="85" name="Picture 84">
          <a:extLst>
            <a:ext uri="{FF2B5EF4-FFF2-40B4-BE49-F238E27FC236}">
              <a16:creationId xmlns="" xmlns:a16="http://schemas.microsoft.com/office/drawing/2014/main" id="{17C6368D-AC87-4EC8-8375-973BFF3DCC8D}"/>
            </a:ext>
          </a:extLst>
        </xdr:cNvPr>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25075" t="37726" r="21321" b="27951"/>
        <a:stretch/>
      </xdr:blipFill>
      <xdr:spPr>
        <a:xfrm>
          <a:off x="7522634" y="84980370"/>
          <a:ext cx="687917" cy="526613"/>
        </a:xfrm>
        <a:prstGeom prst="rect">
          <a:avLst/>
        </a:prstGeom>
      </xdr:spPr>
    </xdr:pic>
    <xdr:clientData/>
  </xdr:oneCellAnchor>
  <xdr:oneCellAnchor>
    <xdr:from>
      <xdr:col>8</xdr:col>
      <xdr:colOff>158745</xdr:colOff>
      <xdr:row>136</xdr:row>
      <xdr:rowOff>46542</xdr:rowOff>
    </xdr:from>
    <xdr:ext cx="455084" cy="535541"/>
    <xdr:pic>
      <xdr:nvPicPr>
        <xdr:cNvPr id="86" name="Picture 85">
          <a:extLst>
            <a:ext uri="{FF2B5EF4-FFF2-40B4-BE49-F238E27FC236}">
              <a16:creationId xmlns="" xmlns:a16="http://schemas.microsoft.com/office/drawing/2014/main" id="{BA046825-6A24-45E0-B774-BB10F75BD1C5}"/>
            </a:ext>
          </a:extLst>
        </xdr:cNvPr>
        <xdr:cNvPicPr>
          <a:picLocks noChangeAspect="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18384" t="18515" r="19995" b="8969"/>
        <a:stretch/>
      </xdr:blipFill>
      <xdr:spPr>
        <a:xfrm>
          <a:off x="7607295" y="85600092"/>
          <a:ext cx="455084" cy="535541"/>
        </a:xfrm>
        <a:prstGeom prst="rect">
          <a:avLst/>
        </a:prstGeom>
      </xdr:spPr>
    </xdr:pic>
    <xdr:clientData/>
  </xdr:oneCellAnchor>
  <xdr:oneCellAnchor>
    <xdr:from>
      <xdr:col>8</xdr:col>
      <xdr:colOff>84666</xdr:colOff>
      <xdr:row>137</xdr:row>
      <xdr:rowOff>74083</xdr:rowOff>
    </xdr:from>
    <xdr:ext cx="634205" cy="529165"/>
    <xdr:pic>
      <xdr:nvPicPr>
        <xdr:cNvPr id="87" name="Picture 86">
          <a:extLst>
            <a:ext uri="{FF2B5EF4-FFF2-40B4-BE49-F238E27FC236}">
              <a16:creationId xmlns="" xmlns:a16="http://schemas.microsoft.com/office/drawing/2014/main" id="{7A4E11B7-9562-4B94-9AF0-CF63175F1E93}"/>
            </a:ext>
          </a:extLst>
        </xdr:cNvPr>
        <xdr:cNvPicPr>
          <a:picLocks noChangeAspect="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7980" t="11650" r="9180" b="19231"/>
        <a:stretch/>
      </xdr:blipFill>
      <xdr:spPr>
        <a:xfrm>
          <a:off x="7533216" y="86256283"/>
          <a:ext cx="634205" cy="529165"/>
        </a:xfrm>
        <a:prstGeom prst="rect">
          <a:avLst/>
        </a:prstGeom>
      </xdr:spPr>
    </xdr:pic>
    <xdr:clientData/>
  </xdr:oneCellAnchor>
  <xdr:oneCellAnchor>
    <xdr:from>
      <xdr:col>8</xdr:col>
      <xdr:colOff>95250</xdr:colOff>
      <xdr:row>144</xdr:row>
      <xdr:rowOff>157156</xdr:rowOff>
    </xdr:from>
    <xdr:ext cx="656167" cy="368704"/>
    <xdr:pic>
      <xdr:nvPicPr>
        <xdr:cNvPr id="88" name="Picture 87">
          <a:extLst>
            <a:ext uri="{FF2B5EF4-FFF2-40B4-BE49-F238E27FC236}">
              <a16:creationId xmlns="" xmlns:a16="http://schemas.microsoft.com/office/drawing/2014/main" id="{9D9E752C-748C-417C-8081-9BE77B9C2DF2}"/>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7543800" y="90739906"/>
          <a:ext cx="656167" cy="368704"/>
        </a:xfrm>
        <a:prstGeom prst="rect">
          <a:avLst/>
        </a:prstGeom>
      </xdr:spPr>
    </xdr:pic>
    <xdr:clientData/>
  </xdr:oneCellAnchor>
  <xdr:oneCellAnchor>
    <xdr:from>
      <xdr:col>8</xdr:col>
      <xdr:colOff>95248</xdr:colOff>
      <xdr:row>145</xdr:row>
      <xdr:rowOff>63499</xdr:rowOff>
    </xdr:from>
    <xdr:ext cx="678297" cy="497418"/>
    <xdr:pic>
      <xdr:nvPicPr>
        <xdr:cNvPr id="89" name="Picture 88">
          <a:extLst>
            <a:ext uri="{FF2B5EF4-FFF2-40B4-BE49-F238E27FC236}">
              <a16:creationId xmlns="" xmlns:a16="http://schemas.microsoft.com/office/drawing/2014/main" id="{B9CE4E07-2C2B-4BAF-B924-A73CBC62D00C}"/>
            </a:ext>
          </a:extLst>
        </xdr:cNvPr>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3898" t="16241" r="3531" b="15874"/>
        <a:stretch/>
      </xdr:blipFill>
      <xdr:spPr>
        <a:xfrm>
          <a:off x="7543798" y="91274899"/>
          <a:ext cx="678297" cy="497418"/>
        </a:xfrm>
        <a:prstGeom prst="rect">
          <a:avLst/>
        </a:prstGeom>
      </xdr:spPr>
    </xdr:pic>
    <xdr:clientData/>
  </xdr:oneCellAnchor>
  <xdr:oneCellAnchor>
    <xdr:from>
      <xdr:col>8</xdr:col>
      <xdr:colOff>84346</xdr:colOff>
      <xdr:row>91</xdr:row>
      <xdr:rowOff>275170</xdr:rowOff>
    </xdr:from>
    <xdr:ext cx="688237" cy="92402"/>
    <xdr:pic>
      <xdr:nvPicPr>
        <xdr:cNvPr id="90" name="Picture 89">
          <a:extLst>
            <a:ext uri="{FF2B5EF4-FFF2-40B4-BE49-F238E27FC236}">
              <a16:creationId xmlns="" xmlns:a16="http://schemas.microsoft.com/office/drawing/2014/main" id="{92DAB480-31E9-4137-B55F-812432A42584}"/>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rot="5400000">
          <a:off x="7830814" y="57241552"/>
          <a:ext cx="92402" cy="688237"/>
        </a:xfrm>
        <a:prstGeom prst="rect">
          <a:avLst/>
        </a:prstGeom>
      </xdr:spPr>
    </xdr:pic>
    <xdr:clientData/>
  </xdr:oneCellAnchor>
  <xdr:oneCellAnchor>
    <xdr:from>
      <xdr:col>8</xdr:col>
      <xdr:colOff>56584</xdr:colOff>
      <xdr:row>92</xdr:row>
      <xdr:rowOff>188156</xdr:rowOff>
    </xdr:from>
    <xdr:ext cx="747750" cy="266697"/>
    <xdr:pic>
      <xdr:nvPicPr>
        <xdr:cNvPr id="91" name="Picture 90">
          <a:extLst>
            <a:ext uri="{FF2B5EF4-FFF2-40B4-BE49-F238E27FC236}">
              <a16:creationId xmlns="" xmlns:a16="http://schemas.microsoft.com/office/drawing/2014/main" id="{1C636E2B-B993-4DFE-9DE6-40E9482D482E}"/>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505134" y="58081106"/>
          <a:ext cx="747750" cy="266697"/>
        </a:xfrm>
        <a:prstGeom prst="rect">
          <a:avLst/>
        </a:prstGeom>
      </xdr:spPr>
    </xdr:pic>
    <xdr:clientData/>
  </xdr:oneCellAnchor>
  <xdr:oneCellAnchor>
    <xdr:from>
      <xdr:col>8</xdr:col>
      <xdr:colOff>74085</xdr:colOff>
      <xdr:row>27</xdr:row>
      <xdr:rowOff>58207</xdr:rowOff>
    </xdr:from>
    <xdr:ext cx="698500" cy="523875"/>
    <xdr:pic>
      <xdr:nvPicPr>
        <xdr:cNvPr id="92" name="Picture 91">
          <a:extLst>
            <a:ext uri="{FF2B5EF4-FFF2-40B4-BE49-F238E27FC236}">
              <a16:creationId xmlns="" xmlns:a16="http://schemas.microsoft.com/office/drawing/2014/main" id="{3ED68EF8-4C8F-41BD-B027-FD8E852A1C52}"/>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3711" t="18339" r="4023" b="12462"/>
        <a:stretch/>
      </xdr:blipFill>
      <xdr:spPr>
        <a:xfrm>
          <a:off x="7522635" y="17088907"/>
          <a:ext cx="698500" cy="523875"/>
        </a:xfrm>
        <a:prstGeom prst="rect">
          <a:avLst/>
        </a:prstGeom>
      </xdr:spPr>
    </xdr:pic>
    <xdr:clientData/>
  </xdr:oneCellAnchor>
  <xdr:oneCellAnchor>
    <xdr:from>
      <xdr:col>8</xdr:col>
      <xdr:colOff>63500</xdr:colOff>
      <xdr:row>84</xdr:row>
      <xdr:rowOff>43107</xdr:rowOff>
    </xdr:from>
    <xdr:ext cx="751416" cy="530270"/>
    <xdr:pic>
      <xdr:nvPicPr>
        <xdr:cNvPr id="93" name="Picture 92">
          <a:extLst>
            <a:ext uri="{FF2B5EF4-FFF2-40B4-BE49-F238E27FC236}">
              <a16:creationId xmlns="" xmlns:a16="http://schemas.microsoft.com/office/drawing/2014/main" id="{7C116196-C33F-4BAA-BA29-03B39F1C7ED5}"/>
            </a:ext>
          </a:extLst>
        </xdr:cNvPr>
        <xdr:cNvPicPr>
          <a:picLocks noChangeAspect="1"/>
        </xdr:cNvPicPr>
      </xdr:nvPicPr>
      <xdr:blipFill rotWithShape="1">
        <a:blip xmlns:r="http://schemas.openxmlformats.org/officeDocument/2006/relationships" r:embed="rId90" cstate="print">
          <a:extLst>
            <a:ext uri="{28A0092B-C50C-407E-A947-70E740481C1C}">
              <a14:useLocalDpi xmlns:a14="http://schemas.microsoft.com/office/drawing/2010/main" val="0"/>
            </a:ext>
          </a:extLst>
        </a:blip>
        <a:srcRect l="4196" t="16174" b="16218"/>
        <a:stretch/>
      </xdr:blipFill>
      <xdr:spPr>
        <a:xfrm>
          <a:off x="7512050" y="52906857"/>
          <a:ext cx="751416" cy="530270"/>
        </a:xfrm>
        <a:prstGeom prst="rect">
          <a:avLst/>
        </a:prstGeom>
      </xdr:spPr>
    </xdr:pic>
    <xdr:clientData/>
  </xdr:oneCellAnchor>
  <xdr:oneCellAnchor>
    <xdr:from>
      <xdr:col>8</xdr:col>
      <xdr:colOff>148165</xdr:colOff>
      <xdr:row>108</xdr:row>
      <xdr:rowOff>74083</xdr:rowOff>
    </xdr:from>
    <xdr:ext cx="539751" cy="508552"/>
    <xdr:pic>
      <xdr:nvPicPr>
        <xdr:cNvPr id="94" name="Picture 93">
          <a:extLst>
            <a:ext uri="{FF2B5EF4-FFF2-40B4-BE49-F238E27FC236}">
              <a16:creationId xmlns="" xmlns:a16="http://schemas.microsoft.com/office/drawing/2014/main" id="{A2D54B17-E2B5-4E24-A7D3-26ECDBACCF64}"/>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l="9645" t="11333" r="6925" b="10059"/>
        <a:stretch/>
      </xdr:blipFill>
      <xdr:spPr>
        <a:xfrm>
          <a:off x="7596715" y="68025433"/>
          <a:ext cx="539751" cy="508552"/>
        </a:xfrm>
        <a:prstGeom prst="rect">
          <a:avLst/>
        </a:prstGeom>
      </xdr:spPr>
    </xdr:pic>
    <xdr:clientData/>
  </xdr:oneCellAnchor>
  <xdr:oneCellAnchor>
    <xdr:from>
      <xdr:col>8</xdr:col>
      <xdr:colOff>137579</xdr:colOff>
      <xdr:row>55</xdr:row>
      <xdr:rowOff>74081</xdr:rowOff>
    </xdr:from>
    <xdr:ext cx="570453" cy="476250"/>
    <xdr:pic>
      <xdr:nvPicPr>
        <xdr:cNvPr id="95" name="Picture 94">
          <a:extLst>
            <a:ext uri="{FF2B5EF4-FFF2-40B4-BE49-F238E27FC236}">
              <a16:creationId xmlns="" xmlns:a16="http://schemas.microsoft.com/office/drawing/2014/main" id="{459989F7-B536-446E-A520-0B9FF84C9E9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55" t="18385" r="8667" b="13425"/>
        <a:stretch/>
      </xdr:blipFill>
      <xdr:spPr>
        <a:xfrm>
          <a:off x="7586129" y="34706981"/>
          <a:ext cx="570453" cy="476250"/>
        </a:xfrm>
        <a:prstGeom prst="rect">
          <a:avLst/>
        </a:prstGeom>
      </xdr:spPr>
    </xdr:pic>
    <xdr:clientData/>
  </xdr:oneCellAnchor>
  <xdr:oneCellAnchor>
    <xdr:from>
      <xdr:col>8</xdr:col>
      <xdr:colOff>154206</xdr:colOff>
      <xdr:row>83</xdr:row>
      <xdr:rowOff>74079</xdr:rowOff>
    </xdr:from>
    <xdr:ext cx="539751" cy="508552"/>
    <xdr:pic>
      <xdr:nvPicPr>
        <xdr:cNvPr id="96" name="Picture 95">
          <a:extLst>
            <a:ext uri="{FF2B5EF4-FFF2-40B4-BE49-F238E27FC236}">
              <a16:creationId xmlns="" xmlns:a16="http://schemas.microsoft.com/office/drawing/2014/main" id="{480D1492-128D-4C52-AAA3-D4AE82F0BF20}"/>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l="9645" t="11333" r="6925" b="10059"/>
        <a:stretch/>
      </xdr:blipFill>
      <xdr:spPr>
        <a:xfrm>
          <a:off x="7602756" y="52309179"/>
          <a:ext cx="539751" cy="508552"/>
        </a:xfrm>
        <a:prstGeom prst="rect">
          <a:avLst/>
        </a:prstGeom>
      </xdr:spPr>
    </xdr:pic>
    <xdr:clientData/>
  </xdr:oneCellAnchor>
  <xdr:oneCellAnchor>
    <xdr:from>
      <xdr:col>8</xdr:col>
      <xdr:colOff>74085</xdr:colOff>
      <xdr:row>8</xdr:row>
      <xdr:rowOff>169333</xdr:rowOff>
    </xdr:from>
    <xdr:ext cx="669020" cy="317501"/>
    <xdr:pic>
      <xdr:nvPicPr>
        <xdr:cNvPr id="97" name="Picture 96">
          <a:extLst>
            <a:ext uri="{FF2B5EF4-FFF2-40B4-BE49-F238E27FC236}">
              <a16:creationId xmlns="" xmlns:a16="http://schemas.microsoft.com/office/drawing/2014/main" id="{16B523E0-041F-4893-AD1F-D50A3F45995D}"/>
            </a:ext>
          </a:extLst>
        </xdr:cNvPr>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4249" t="29475" r="2733" b="26381"/>
        <a:stretch/>
      </xdr:blipFill>
      <xdr:spPr>
        <a:xfrm>
          <a:off x="7522635" y="5255683"/>
          <a:ext cx="669020" cy="317501"/>
        </a:xfrm>
        <a:prstGeom prst="rect">
          <a:avLst/>
        </a:prstGeom>
      </xdr:spPr>
    </xdr:pic>
    <xdr:clientData/>
  </xdr:oneCellAnchor>
  <xdr:oneCellAnchor>
    <xdr:from>
      <xdr:col>8</xdr:col>
      <xdr:colOff>63498</xdr:colOff>
      <xdr:row>39</xdr:row>
      <xdr:rowOff>162329</xdr:rowOff>
    </xdr:from>
    <xdr:ext cx="698501" cy="356255"/>
    <xdr:pic>
      <xdr:nvPicPr>
        <xdr:cNvPr id="98" name="Picture 97">
          <a:extLst>
            <a:ext uri="{FF2B5EF4-FFF2-40B4-BE49-F238E27FC236}">
              <a16:creationId xmlns="" xmlns:a16="http://schemas.microsoft.com/office/drawing/2014/main" id="{09C01F22-E5BB-44FD-A735-623486FD15FC}"/>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4467" t="28641" r="3829" b="24587"/>
        <a:stretch/>
      </xdr:blipFill>
      <xdr:spPr>
        <a:xfrm>
          <a:off x="7512048" y="24736829"/>
          <a:ext cx="698501" cy="356255"/>
        </a:xfrm>
        <a:prstGeom prst="rect">
          <a:avLst/>
        </a:prstGeom>
      </xdr:spPr>
    </xdr:pic>
    <xdr:clientData/>
  </xdr:oneCellAnchor>
  <xdr:oneCellAnchor>
    <xdr:from>
      <xdr:col>8</xdr:col>
      <xdr:colOff>222247</xdr:colOff>
      <xdr:row>89</xdr:row>
      <xdr:rowOff>21167</xdr:rowOff>
    </xdr:from>
    <xdr:ext cx="349251" cy="580997"/>
    <xdr:pic>
      <xdr:nvPicPr>
        <xdr:cNvPr id="99" name="Picture 98">
          <a:extLst>
            <a:ext uri="{FF2B5EF4-FFF2-40B4-BE49-F238E27FC236}">
              <a16:creationId xmlns="" xmlns:a16="http://schemas.microsoft.com/office/drawing/2014/main" id="{2B979A15-AC68-42CF-9F7A-CB6253C61157}"/>
            </a:ext>
          </a:extLst>
        </xdr:cNvPr>
        <xdr:cNvPicPr>
          <a:picLocks noChangeAspect="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21100" t="6202" r="25143" b="4371"/>
        <a:stretch/>
      </xdr:blipFill>
      <xdr:spPr>
        <a:xfrm>
          <a:off x="7670797" y="56028167"/>
          <a:ext cx="349251" cy="580997"/>
        </a:xfrm>
        <a:prstGeom prst="rect">
          <a:avLst/>
        </a:prstGeom>
      </xdr:spPr>
    </xdr:pic>
    <xdr:clientData/>
  </xdr:oneCellAnchor>
  <xdr:oneCellAnchor>
    <xdr:from>
      <xdr:col>8</xdr:col>
      <xdr:colOff>264583</xdr:colOff>
      <xdr:row>141</xdr:row>
      <xdr:rowOff>74082</xdr:rowOff>
    </xdr:from>
    <xdr:ext cx="305487" cy="518583"/>
    <xdr:pic>
      <xdr:nvPicPr>
        <xdr:cNvPr id="100" name="Picture 99">
          <a:extLst>
            <a:ext uri="{FF2B5EF4-FFF2-40B4-BE49-F238E27FC236}">
              <a16:creationId xmlns="" xmlns:a16="http://schemas.microsoft.com/office/drawing/2014/main" id="{01EEBC67-9B50-4671-AE12-6DC4B2C3FADA}"/>
            </a:ext>
          </a:extLst>
        </xdr:cNvPr>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23067" t="6913" r="25438" b="5670"/>
        <a:stretch/>
      </xdr:blipFill>
      <xdr:spPr>
        <a:xfrm>
          <a:off x="7713133" y="88770882"/>
          <a:ext cx="305487" cy="518583"/>
        </a:xfrm>
        <a:prstGeom prst="rect">
          <a:avLst/>
        </a:prstGeom>
      </xdr:spPr>
    </xdr:pic>
    <xdr:clientData/>
  </xdr:oneCellAnchor>
  <xdr:oneCellAnchor>
    <xdr:from>
      <xdr:col>8</xdr:col>
      <xdr:colOff>77751</xdr:colOff>
      <xdr:row>142</xdr:row>
      <xdr:rowOff>83710</xdr:rowOff>
    </xdr:from>
    <xdr:ext cx="715999" cy="496406"/>
    <xdr:pic>
      <xdr:nvPicPr>
        <xdr:cNvPr id="101" name="Picture 100">
          <a:extLst>
            <a:ext uri="{FF2B5EF4-FFF2-40B4-BE49-F238E27FC236}">
              <a16:creationId xmlns="" xmlns:a16="http://schemas.microsoft.com/office/drawing/2014/main" id="{06D9B7B5-E940-49F5-98A4-0B1307EEFD9D}"/>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t="20899" b="10285"/>
        <a:stretch/>
      </xdr:blipFill>
      <xdr:spPr>
        <a:xfrm>
          <a:off x="7526301" y="89409160"/>
          <a:ext cx="715999" cy="496406"/>
        </a:xfrm>
        <a:prstGeom prst="rect">
          <a:avLst/>
        </a:prstGeom>
      </xdr:spPr>
    </xdr:pic>
    <xdr:clientData/>
  </xdr:oneCellAnchor>
  <xdr:oneCellAnchor>
    <xdr:from>
      <xdr:col>8</xdr:col>
      <xdr:colOff>296333</xdr:colOff>
      <xdr:row>66</xdr:row>
      <xdr:rowOff>82438</xdr:rowOff>
    </xdr:from>
    <xdr:ext cx="275167" cy="499645"/>
    <xdr:pic>
      <xdr:nvPicPr>
        <xdr:cNvPr id="102" name="Picture 101">
          <a:extLst>
            <a:ext uri="{FF2B5EF4-FFF2-40B4-BE49-F238E27FC236}">
              <a16:creationId xmlns="" xmlns:a16="http://schemas.microsoft.com/office/drawing/2014/main" id="{761632B2-FABC-42BD-AF64-D79716424888}"/>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25240" t="7328" r="27032" b="6008"/>
        <a:stretch/>
      </xdr:blipFill>
      <xdr:spPr>
        <a:xfrm>
          <a:off x="7744883" y="41630488"/>
          <a:ext cx="275167" cy="499645"/>
        </a:xfrm>
        <a:prstGeom prst="rect">
          <a:avLst/>
        </a:prstGeom>
      </xdr:spPr>
    </xdr:pic>
    <xdr:clientData/>
  </xdr:oneCellAnchor>
  <xdr:oneCellAnchor>
    <xdr:from>
      <xdr:col>8</xdr:col>
      <xdr:colOff>317499</xdr:colOff>
      <xdr:row>143</xdr:row>
      <xdr:rowOff>63500</xdr:rowOff>
    </xdr:from>
    <xdr:ext cx="286459" cy="539750"/>
    <xdr:pic>
      <xdr:nvPicPr>
        <xdr:cNvPr id="103" name="Picture 102">
          <a:extLst>
            <a:ext uri="{FF2B5EF4-FFF2-40B4-BE49-F238E27FC236}">
              <a16:creationId xmlns="" xmlns:a16="http://schemas.microsoft.com/office/drawing/2014/main" id="{9DE2FF6C-B955-49BF-9F24-4D0C64CB0856}"/>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26955" t="6030" r="25317" b="4042"/>
        <a:stretch/>
      </xdr:blipFill>
      <xdr:spPr>
        <a:xfrm>
          <a:off x="7766049" y="90017600"/>
          <a:ext cx="286459" cy="539750"/>
        </a:xfrm>
        <a:prstGeom prst="rect">
          <a:avLst/>
        </a:prstGeom>
      </xdr:spPr>
    </xdr:pic>
    <xdr:clientData/>
  </xdr:oneCellAnchor>
  <xdr:oneCellAnchor>
    <xdr:from>
      <xdr:col>8</xdr:col>
      <xdr:colOff>84666</xdr:colOff>
      <xdr:row>119</xdr:row>
      <xdr:rowOff>148167</xdr:rowOff>
    </xdr:from>
    <xdr:ext cx="666750" cy="311913"/>
    <xdr:pic>
      <xdr:nvPicPr>
        <xdr:cNvPr id="104" name="Picture 103">
          <a:extLst>
            <a:ext uri="{FF2B5EF4-FFF2-40B4-BE49-F238E27FC236}">
              <a16:creationId xmlns="" xmlns:a16="http://schemas.microsoft.com/office/drawing/2014/main" id="{C1DA17F2-E253-4628-A855-5520D2F4C209}"/>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73" t="26344" r="815" b="28040"/>
        <a:stretch/>
      </xdr:blipFill>
      <xdr:spPr>
        <a:xfrm>
          <a:off x="7533216" y="75014667"/>
          <a:ext cx="666750" cy="311913"/>
        </a:xfrm>
        <a:prstGeom prst="rect">
          <a:avLst/>
        </a:prstGeom>
      </xdr:spPr>
    </xdr:pic>
    <xdr:clientData/>
  </xdr:oneCellAnchor>
  <xdr:oneCellAnchor>
    <xdr:from>
      <xdr:col>8</xdr:col>
      <xdr:colOff>46096</xdr:colOff>
      <xdr:row>126</xdr:row>
      <xdr:rowOff>84667</xdr:rowOff>
    </xdr:from>
    <xdr:ext cx="729772" cy="470958"/>
    <xdr:pic>
      <xdr:nvPicPr>
        <xdr:cNvPr id="105" name="Picture 104">
          <a:extLst>
            <a:ext uri="{FF2B5EF4-FFF2-40B4-BE49-F238E27FC236}">
              <a16:creationId xmlns="" xmlns:a16="http://schemas.microsoft.com/office/drawing/2014/main" id="{A8CAD928-1513-4380-B060-4DA5998C0C5B}"/>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20909" t="16376" r="32671" b="10981"/>
        <a:stretch/>
      </xdr:blipFill>
      <xdr:spPr>
        <a:xfrm rot="16200000">
          <a:off x="7624053" y="79222310"/>
          <a:ext cx="470958" cy="729772"/>
        </a:xfrm>
        <a:prstGeom prst="rect">
          <a:avLst/>
        </a:prstGeom>
      </xdr:spPr>
    </xdr:pic>
    <xdr:clientData/>
  </xdr:oneCellAnchor>
  <xdr:oneCellAnchor>
    <xdr:from>
      <xdr:col>8</xdr:col>
      <xdr:colOff>52914</xdr:colOff>
      <xdr:row>124</xdr:row>
      <xdr:rowOff>105835</xdr:rowOff>
    </xdr:from>
    <xdr:ext cx="740833" cy="442203"/>
    <xdr:pic>
      <xdr:nvPicPr>
        <xdr:cNvPr id="106" name="Picture 105">
          <a:extLst>
            <a:ext uri="{FF2B5EF4-FFF2-40B4-BE49-F238E27FC236}">
              <a16:creationId xmlns="" xmlns:a16="http://schemas.microsoft.com/office/drawing/2014/main" id="{89368797-A417-49B0-B0FA-D5329B1AD3C9}"/>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6470" t="23935" r="4036" b="22647"/>
        <a:stretch/>
      </xdr:blipFill>
      <xdr:spPr>
        <a:xfrm>
          <a:off x="7501464" y="78115585"/>
          <a:ext cx="740833" cy="442203"/>
        </a:xfrm>
        <a:prstGeom prst="rect">
          <a:avLst/>
        </a:prstGeom>
      </xdr:spPr>
    </xdr:pic>
    <xdr:clientData/>
  </xdr:oneCellAnchor>
  <xdr:oneCellAnchor>
    <xdr:from>
      <xdr:col>8</xdr:col>
      <xdr:colOff>84666</xdr:colOff>
      <xdr:row>99</xdr:row>
      <xdr:rowOff>50121</xdr:rowOff>
    </xdr:from>
    <xdr:ext cx="673085" cy="521379"/>
    <xdr:pic>
      <xdr:nvPicPr>
        <xdr:cNvPr id="107" name="Picture 106">
          <a:extLst>
            <a:ext uri="{FF2B5EF4-FFF2-40B4-BE49-F238E27FC236}">
              <a16:creationId xmlns="" xmlns:a16="http://schemas.microsoft.com/office/drawing/2014/main" id="{434B9D9D-6E52-44C0-9AA5-26D3E0280F5E}"/>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l="5863" t="14322" r="3629" b="15569"/>
        <a:stretch/>
      </xdr:blipFill>
      <xdr:spPr>
        <a:xfrm>
          <a:off x="7533216" y="62343621"/>
          <a:ext cx="673085" cy="521379"/>
        </a:xfrm>
        <a:prstGeom prst="rect">
          <a:avLst/>
        </a:prstGeom>
      </xdr:spPr>
    </xdr:pic>
    <xdr:clientData/>
  </xdr:oneCellAnchor>
  <xdr:oneCellAnchor>
    <xdr:from>
      <xdr:col>8</xdr:col>
      <xdr:colOff>179918</xdr:colOff>
      <xdr:row>75</xdr:row>
      <xdr:rowOff>31749</xdr:rowOff>
    </xdr:from>
    <xdr:ext cx="560524" cy="550333"/>
    <xdr:pic>
      <xdr:nvPicPr>
        <xdr:cNvPr id="108" name="Picture 107">
          <a:extLst>
            <a:ext uri="{FF2B5EF4-FFF2-40B4-BE49-F238E27FC236}">
              <a16:creationId xmlns="" xmlns:a16="http://schemas.microsoft.com/office/drawing/2014/main" id="{F0BB416F-2E91-4122-85A4-48C3F8630BC1}"/>
            </a:ext>
          </a:extLst>
        </xdr:cNvPr>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9814" t="11157" r="7972" b="8124"/>
        <a:stretch/>
      </xdr:blipFill>
      <xdr:spPr>
        <a:xfrm>
          <a:off x="7628468" y="47237649"/>
          <a:ext cx="560524" cy="550333"/>
        </a:xfrm>
        <a:prstGeom prst="rect">
          <a:avLst/>
        </a:prstGeom>
      </xdr:spPr>
    </xdr:pic>
    <xdr:clientData/>
  </xdr:oneCellAnchor>
  <xdr:oneCellAnchor>
    <xdr:from>
      <xdr:col>8</xdr:col>
      <xdr:colOff>52918</xdr:colOff>
      <xdr:row>32</xdr:row>
      <xdr:rowOff>95251</xdr:rowOff>
    </xdr:from>
    <xdr:ext cx="733806" cy="444498"/>
    <xdr:pic>
      <xdr:nvPicPr>
        <xdr:cNvPr id="109" name="Picture 108">
          <a:extLst>
            <a:ext uri="{FF2B5EF4-FFF2-40B4-BE49-F238E27FC236}">
              <a16:creationId xmlns="" xmlns:a16="http://schemas.microsoft.com/office/drawing/2014/main" id="{8607A670-ACA8-4603-953C-2A1C0122C7E8}"/>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l="6281" t="23651" r="3914" b="21950"/>
        <a:stretch/>
      </xdr:blipFill>
      <xdr:spPr>
        <a:xfrm>
          <a:off x="7501468" y="20269201"/>
          <a:ext cx="733806" cy="444498"/>
        </a:xfrm>
        <a:prstGeom prst="rect">
          <a:avLst/>
        </a:prstGeom>
      </xdr:spPr>
    </xdr:pic>
    <xdr:clientData/>
  </xdr:oneCellAnchor>
  <xdr:oneCellAnchor>
    <xdr:from>
      <xdr:col>8</xdr:col>
      <xdr:colOff>145333</xdr:colOff>
      <xdr:row>33</xdr:row>
      <xdr:rowOff>87172</xdr:rowOff>
    </xdr:from>
    <xdr:ext cx="584917" cy="463160"/>
    <xdr:pic>
      <xdr:nvPicPr>
        <xdr:cNvPr id="110" name="Picture 109">
          <a:extLst>
            <a:ext uri="{FF2B5EF4-FFF2-40B4-BE49-F238E27FC236}">
              <a16:creationId xmlns="" xmlns:a16="http://schemas.microsoft.com/office/drawing/2014/main" id="{71994B10-4217-4391-B2B9-89A97F56AF59}"/>
            </a:ext>
          </a:extLst>
        </xdr:cNvPr>
        <xdr:cNvPicPr>
          <a:picLocks noChangeAspect="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rcRect t="12690" b="8179"/>
        <a:stretch/>
      </xdr:blipFill>
      <xdr:spPr>
        <a:xfrm>
          <a:off x="7593883" y="20889772"/>
          <a:ext cx="584917" cy="463160"/>
        </a:xfrm>
        <a:prstGeom prst="rect">
          <a:avLst/>
        </a:prstGeom>
      </xdr:spPr>
    </xdr:pic>
    <xdr:clientData/>
  </xdr:oneCellAnchor>
  <xdr:oneCellAnchor>
    <xdr:from>
      <xdr:col>8</xdr:col>
      <xdr:colOff>254000</xdr:colOff>
      <xdr:row>57</xdr:row>
      <xdr:rowOff>74085</xdr:rowOff>
    </xdr:from>
    <xdr:ext cx="311792" cy="486833"/>
    <xdr:pic>
      <xdr:nvPicPr>
        <xdr:cNvPr id="111" name="Picture 110">
          <a:extLst>
            <a:ext uri="{FF2B5EF4-FFF2-40B4-BE49-F238E27FC236}">
              <a16:creationId xmlns="" xmlns:a16="http://schemas.microsoft.com/office/drawing/2014/main" id="{B50FB7AD-3809-4969-BDCE-2467934767FD}"/>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24794" t="6219" r="16125" b="1533"/>
        <a:stretch/>
      </xdr:blipFill>
      <xdr:spPr>
        <a:xfrm>
          <a:off x="7702550" y="35964285"/>
          <a:ext cx="311792" cy="486833"/>
        </a:xfrm>
        <a:prstGeom prst="rect">
          <a:avLst/>
        </a:prstGeom>
      </xdr:spPr>
    </xdr:pic>
    <xdr:clientData/>
  </xdr:oneCellAnchor>
  <xdr:oneCellAnchor>
    <xdr:from>
      <xdr:col>8</xdr:col>
      <xdr:colOff>63498</xdr:colOff>
      <xdr:row>100</xdr:row>
      <xdr:rowOff>95247</xdr:rowOff>
    </xdr:from>
    <xdr:ext cx="733806" cy="444498"/>
    <xdr:pic>
      <xdr:nvPicPr>
        <xdr:cNvPr id="112" name="Picture 111">
          <a:extLst>
            <a:ext uri="{FF2B5EF4-FFF2-40B4-BE49-F238E27FC236}">
              <a16:creationId xmlns="" xmlns:a16="http://schemas.microsoft.com/office/drawing/2014/main" id="{CAD3FFCF-A471-4AF4-89EF-714767757CF3}"/>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l="6281" t="23651" r="3914" b="21950"/>
        <a:stretch/>
      </xdr:blipFill>
      <xdr:spPr>
        <a:xfrm>
          <a:off x="7512048" y="63017397"/>
          <a:ext cx="733806" cy="444498"/>
        </a:xfrm>
        <a:prstGeom prst="rect">
          <a:avLst/>
        </a:prstGeom>
      </xdr:spPr>
    </xdr:pic>
    <xdr:clientData/>
  </xdr:oneCellAnchor>
  <xdr:oneCellAnchor>
    <xdr:from>
      <xdr:col>8</xdr:col>
      <xdr:colOff>222249</xdr:colOff>
      <xdr:row>94</xdr:row>
      <xdr:rowOff>52915</xdr:rowOff>
    </xdr:from>
    <xdr:ext cx="336093" cy="529167"/>
    <xdr:pic>
      <xdr:nvPicPr>
        <xdr:cNvPr id="113" name="Picture 112">
          <a:extLst>
            <a:ext uri="{FF2B5EF4-FFF2-40B4-BE49-F238E27FC236}">
              <a16:creationId xmlns="" xmlns:a16="http://schemas.microsoft.com/office/drawing/2014/main" id="{8DF68CF5-158A-457B-B3AD-7102E3F7A0D5}"/>
            </a:ext>
          </a:extLst>
        </xdr:cNvPr>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rcRect l="21440" t="6101" r="21213" b="3607"/>
        <a:stretch/>
      </xdr:blipFill>
      <xdr:spPr>
        <a:xfrm>
          <a:off x="7670799" y="59203165"/>
          <a:ext cx="336093" cy="529167"/>
        </a:xfrm>
        <a:prstGeom prst="rect">
          <a:avLst/>
        </a:prstGeom>
      </xdr:spPr>
    </xdr:pic>
    <xdr:clientData/>
  </xdr:oneCellAnchor>
  <xdr:oneCellAnchor>
    <xdr:from>
      <xdr:col>8</xdr:col>
      <xdr:colOff>179916</xdr:colOff>
      <xdr:row>128</xdr:row>
      <xdr:rowOff>84666</xdr:rowOff>
    </xdr:from>
    <xdr:ext cx="389467" cy="486834"/>
    <xdr:pic>
      <xdr:nvPicPr>
        <xdr:cNvPr id="114" name="Picture 113">
          <a:extLst>
            <a:ext uri="{FF2B5EF4-FFF2-40B4-BE49-F238E27FC236}">
              <a16:creationId xmlns="" xmlns:a16="http://schemas.microsoft.com/office/drawing/2014/main" id="{926E9CCD-33BF-4E68-93C7-C066911D898D}"/>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rcRect l="17984" t="11126" r="17169" b="7816"/>
        <a:stretch/>
      </xdr:blipFill>
      <xdr:spPr>
        <a:xfrm>
          <a:off x="7628466" y="80609016"/>
          <a:ext cx="389467" cy="486834"/>
        </a:xfrm>
        <a:prstGeom prst="rect">
          <a:avLst/>
        </a:prstGeom>
      </xdr:spPr>
    </xdr:pic>
    <xdr:clientData/>
  </xdr:oneCellAnchor>
  <xdr:oneCellAnchor>
    <xdr:from>
      <xdr:col>8</xdr:col>
      <xdr:colOff>201083</xdr:colOff>
      <xdr:row>86</xdr:row>
      <xdr:rowOff>42978</xdr:rowOff>
    </xdr:from>
    <xdr:ext cx="444500" cy="539106"/>
    <xdr:pic>
      <xdr:nvPicPr>
        <xdr:cNvPr id="115" name="Picture 114">
          <a:extLst>
            <a:ext uri="{FF2B5EF4-FFF2-40B4-BE49-F238E27FC236}">
              <a16:creationId xmlns="" xmlns:a16="http://schemas.microsoft.com/office/drawing/2014/main" id="{B30203D3-D0A6-4282-985B-61FBE295976E}"/>
            </a:ext>
          </a:extLst>
        </xdr:cNvPr>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rcRect l="17358" t="8308" r="15461" b="8550"/>
        <a:stretch/>
      </xdr:blipFill>
      <xdr:spPr>
        <a:xfrm>
          <a:off x="7649633" y="54164028"/>
          <a:ext cx="444500" cy="539106"/>
        </a:xfrm>
        <a:prstGeom prst="rect">
          <a:avLst/>
        </a:prstGeom>
      </xdr:spPr>
    </xdr:pic>
    <xdr:clientData/>
  </xdr:oneCellAnchor>
  <xdr:oneCellAnchor>
    <xdr:from>
      <xdr:col>8</xdr:col>
      <xdr:colOff>158751</xdr:colOff>
      <xdr:row>132</xdr:row>
      <xdr:rowOff>68655</xdr:rowOff>
    </xdr:from>
    <xdr:ext cx="433916" cy="513430"/>
    <xdr:pic>
      <xdr:nvPicPr>
        <xdr:cNvPr id="116" name="Picture 115">
          <a:extLst>
            <a:ext uri="{FF2B5EF4-FFF2-40B4-BE49-F238E27FC236}">
              <a16:creationId xmlns="" xmlns:a16="http://schemas.microsoft.com/office/drawing/2014/main" id="{9C350E8B-71EC-48B1-9239-2CDB5F9C435E}"/>
            </a:ext>
          </a:extLst>
        </xdr:cNvPr>
        <xdr:cNvPicPr>
          <a:picLocks noChangeAspect="1"/>
        </xdr:cNvPicPr>
      </xdr:nvPicPr>
      <xdr:blipFill rotWithShape="1">
        <a:blip xmlns:r="http://schemas.openxmlformats.org/officeDocument/2006/relationships" r:embed="rId110" cstate="print">
          <a:extLst>
            <a:ext uri="{28A0092B-C50C-407E-A947-70E740481C1C}">
              <a14:useLocalDpi xmlns:a14="http://schemas.microsoft.com/office/drawing/2010/main" val="0"/>
            </a:ext>
          </a:extLst>
        </a:blip>
        <a:srcRect l="15679" t="9789" r="20604" b="16470"/>
        <a:stretch/>
      </xdr:blipFill>
      <xdr:spPr>
        <a:xfrm>
          <a:off x="7607301" y="83107605"/>
          <a:ext cx="433916" cy="513430"/>
        </a:xfrm>
        <a:prstGeom prst="rect">
          <a:avLst/>
        </a:prstGeom>
      </xdr:spPr>
    </xdr:pic>
    <xdr:clientData/>
  </xdr:oneCellAnchor>
  <xdr:oneCellAnchor>
    <xdr:from>
      <xdr:col>8</xdr:col>
      <xdr:colOff>52919</xdr:colOff>
      <xdr:row>133</xdr:row>
      <xdr:rowOff>145242</xdr:rowOff>
    </xdr:from>
    <xdr:ext cx="730248" cy="334390"/>
    <xdr:pic>
      <xdr:nvPicPr>
        <xdr:cNvPr id="117" name="Picture 116">
          <a:extLst>
            <a:ext uri="{FF2B5EF4-FFF2-40B4-BE49-F238E27FC236}">
              <a16:creationId xmlns="" xmlns:a16="http://schemas.microsoft.com/office/drawing/2014/main" id="{04DCBD0B-79D8-4EB6-A41B-F8413A68DD03}"/>
            </a:ext>
          </a:extLst>
        </xdr:cNvPr>
        <xdr:cNvPicPr>
          <a:picLocks noChangeAspect="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rcRect l="5650" t="32215" r="6650" b="30095"/>
        <a:stretch/>
      </xdr:blipFill>
      <xdr:spPr>
        <a:xfrm>
          <a:off x="7501469" y="83812842"/>
          <a:ext cx="730248" cy="334390"/>
        </a:xfrm>
        <a:prstGeom prst="rect">
          <a:avLst/>
        </a:prstGeom>
      </xdr:spPr>
    </xdr:pic>
    <xdr:clientData/>
  </xdr:oneCellAnchor>
  <xdr:oneCellAnchor>
    <xdr:from>
      <xdr:col>8</xdr:col>
      <xdr:colOff>159166</xdr:colOff>
      <xdr:row>125</xdr:row>
      <xdr:rowOff>42333</xdr:rowOff>
    </xdr:from>
    <xdr:ext cx="523231" cy="523231"/>
    <xdr:pic>
      <xdr:nvPicPr>
        <xdr:cNvPr id="118" name="Picture 117">
          <a:extLst>
            <a:ext uri="{FF2B5EF4-FFF2-40B4-BE49-F238E27FC236}">
              <a16:creationId xmlns="" xmlns:a16="http://schemas.microsoft.com/office/drawing/2014/main" id="{59A876E9-C289-487C-8C1D-D335B2F4D98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7607716" y="78680733"/>
          <a:ext cx="523231" cy="523231"/>
        </a:xfrm>
        <a:prstGeom prst="rect">
          <a:avLst/>
        </a:prstGeom>
      </xdr:spPr>
    </xdr:pic>
    <xdr:clientData/>
  </xdr:oneCellAnchor>
  <xdr:oneCellAnchor>
    <xdr:from>
      <xdr:col>8</xdr:col>
      <xdr:colOff>31754</xdr:colOff>
      <xdr:row>15</xdr:row>
      <xdr:rowOff>74083</xdr:rowOff>
    </xdr:from>
    <xdr:ext cx="768013" cy="444501"/>
    <xdr:pic>
      <xdr:nvPicPr>
        <xdr:cNvPr id="119" name="Picture 118">
          <a:extLst>
            <a:ext uri="{FF2B5EF4-FFF2-40B4-BE49-F238E27FC236}">
              <a16:creationId xmlns="" xmlns:a16="http://schemas.microsoft.com/office/drawing/2014/main" id="{0A3D08C1-B220-461D-A33D-81C929E3DBA4}"/>
            </a:ext>
          </a:extLst>
        </xdr:cNvPr>
        <xdr:cNvPicPr>
          <a:picLocks noChangeAspect="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6729" t="32022" r="7048" b="18075"/>
        <a:stretch/>
      </xdr:blipFill>
      <xdr:spPr>
        <a:xfrm>
          <a:off x="7480304" y="9560983"/>
          <a:ext cx="768013" cy="444501"/>
        </a:xfrm>
        <a:prstGeom prst="rect">
          <a:avLst/>
        </a:prstGeom>
      </xdr:spPr>
    </xdr:pic>
    <xdr:clientData/>
  </xdr:oneCellAnchor>
  <xdr:oneCellAnchor>
    <xdr:from>
      <xdr:col>8</xdr:col>
      <xdr:colOff>31751</xdr:colOff>
      <xdr:row>134</xdr:row>
      <xdr:rowOff>148167</xdr:rowOff>
    </xdr:from>
    <xdr:ext cx="772584" cy="222902"/>
    <xdr:pic>
      <xdr:nvPicPr>
        <xdr:cNvPr id="120" name="Picture 119">
          <a:extLst>
            <a:ext uri="{FF2B5EF4-FFF2-40B4-BE49-F238E27FC236}">
              <a16:creationId xmlns="" xmlns:a16="http://schemas.microsoft.com/office/drawing/2014/main" id="{42F1A754-0331-42A0-B73D-25C0F46BD75D}"/>
            </a:ext>
          </a:extLst>
        </xdr:cNvPr>
        <xdr:cNvPicPr>
          <a:picLocks noChangeAspect="1"/>
        </xdr:cNvPicPr>
      </xdr:nvPicPr>
      <xdr:blipFill rotWithShape="1">
        <a:blip xmlns:r="http://schemas.openxmlformats.org/officeDocument/2006/relationships" r:embed="rId114" cstate="print">
          <a:extLst>
            <a:ext uri="{28A0092B-C50C-407E-A947-70E740481C1C}">
              <a14:useLocalDpi xmlns:a14="http://schemas.microsoft.com/office/drawing/2010/main" val="0"/>
            </a:ext>
          </a:extLst>
        </a:blip>
        <a:srcRect l="9174" t="39371" r="8146" b="36774"/>
        <a:stretch/>
      </xdr:blipFill>
      <xdr:spPr>
        <a:xfrm>
          <a:off x="7480301" y="84444417"/>
          <a:ext cx="772584" cy="222902"/>
        </a:xfrm>
        <a:prstGeom prst="rect">
          <a:avLst/>
        </a:prstGeom>
      </xdr:spPr>
    </xdr:pic>
    <xdr:clientData/>
  </xdr:oneCellAnchor>
  <xdr:oneCellAnchor>
    <xdr:from>
      <xdr:col>8</xdr:col>
      <xdr:colOff>42333</xdr:colOff>
      <xdr:row>36</xdr:row>
      <xdr:rowOff>105833</xdr:rowOff>
    </xdr:from>
    <xdr:ext cx="762000" cy="327919"/>
    <xdr:pic>
      <xdr:nvPicPr>
        <xdr:cNvPr id="121" name="Picture 120">
          <a:extLst>
            <a:ext uri="{FF2B5EF4-FFF2-40B4-BE49-F238E27FC236}">
              <a16:creationId xmlns="" xmlns:a16="http://schemas.microsoft.com/office/drawing/2014/main" id="{BB0F93FF-001D-4694-9857-CB6D6F9080BC}"/>
            </a:ext>
          </a:extLst>
        </xdr:cNvPr>
        <xdr:cNvPicPr>
          <a:picLocks noChangeAspect="1"/>
        </xdr:cNvPicPr>
      </xdr:nvPicPr>
      <xdr:blipFill rotWithShape="1">
        <a:blip xmlns:r="http://schemas.openxmlformats.org/officeDocument/2006/relationships" r:embed="rId115" cstate="print">
          <a:extLst>
            <a:ext uri="{28A0092B-C50C-407E-A947-70E740481C1C}">
              <a14:useLocalDpi xmlns:a14="http://schemas.microsoft.com/office/drawing/2010/main" val="0"/>
            </a:ext>
          </a:extLst>
        </a:blip>
        <a:srcRect l="3293" t="37085" r="4209" b="23110"/>
        <a:stretch/>
      </xdr:blipFill>
      <xdr:spPr>
        <a:xfrm>
          <a:off x="7490883" y="22794383"/>
          <a:ext cx="762000" cy="327919"/>
        </a:xfrm>
        <a:prstGeom prst="rect">
          <a:avLst/>
        </a:prstGeom>
      </xdr:spPr>
    </xdr:pic>
    <xdr:clientData/>
  </xdr:oneCellAnchor>
  <xdr:oneCellAnchor>
    <xdr:from>
      <xdr:col>8</xdr:col>
      <xdr:colOff>42335</xdr:colOff>
      <xdr:row>10</xdr:row>
      <xdr:rowOff>123604</xdr:rowOff>
    </xdr:from>
    <xdr:ext cx="751417" cy="415833"/>
    <xdr:pic>
      <xdr:nvPicPr>
        <xdr:cNvPr id="122" name="Picture 121">
          <a:extLst>
            <a:ext uri="{FF2B5EF4-FFF2-40B4-BE49-F238E27FC236}">
              <a16:creationId xmlns="" xmlns:a16="http://schemas.microsoft.com/office/drawing/2014/main" id="{CDE61D80-4E79-4B8F-933C-37866BEBAD9A}"/>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7664" t="27748" r="4629" b="23715"/>
        <a:stretch/>
      </xdr:blipFill>
      <xdr:spPr>
        <a:xfrm>
          <a:off x="7490885" y="6467254"/>
          <a:ext cx="751417" cy="415833"/>
        </a:xfrm>
        <a:prstGeom prst="rect">
          <a:avLst/>
        </a:prstGeom>
      </xdr:spPr>
    </xdr:pic>
    <xdr:clientData/>
  </xdr:oneCellAnchor>
  <xdr:oneCellAnchor>
    <xdr:from>
      <xdr:col>8</xdr:col>
      <xdr:colOff>52916</xdr:colOff>
      <xdr:row>63</xdr:row>
      <xdr:rowOff>123505</xdr:rowOff>
    </xdr:from>
    <xdr:ext cx="740833" cy="395574"/>
    <xdr:pic>
      <xdr:nvPicPr>
        <xdr:cNvPr id="123" name="Picture 122">
          <a:extLst>
            <a:ext uri="{FF2B5EF4-FFF2-40B4-BE49-F238E27FC236}">
              <a16:creationId xmlns="" xmlns:a16="http://schemas.microsoft.com/office/drawing/2014/main" id="{00C49E45-A43C-4024-BDA0-589B11C796C5}"/>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5498" t="26647" r="3602" b="24816"/>
        <a:stretch/>
      </xdr:blipFill>
      <xdr:spPr>
        <a:xfrm>
          <a:off x="7501466" y="39785605"/>
          <a:ext cx="740833" cy="395574"/>
        </a:xfrm>
        <a:prstGeom prst="rect">
          <a:avLst/>
        </a:prstGeom>
      </xdr:spPr>
    </xdr:pic>
    <xdr:clientData/>
  </xdr:oneCellAnchor>
  <xdr:oneCellAnchor>
    <xdr:from>
      <xdr:col>8</xdr:col>
      <xdr:colOff>47626</xdr:colOff>
      <xdr:row>7</xdr:row>
      <xdr:rowOff>174142</xdr:rowOff>
    </xdr:from>
    <xdr:ext cx="709085" cy="312692"/>
    <xdr:pic>
      <xdr:nvPicPr>
        <xdr:cNvPr id="124" name="Picture 123">
          <a:extLst>
            <a:ext uri="{FF2B5EF4-FFF2-40B4-BE49-F238E27FC236}">
              <a16:creationId xmlns="" xmlns:a16="http://schemas.microsoft.com/office/drawing/2014/main" id="{5A89BF95-F6E5-4118-9224-DD92B827912F}"/>
            </a:ext>
          </a:extLst>
        </xdr:cNvPr>
        <xdr:cNvPicPr>
          <a:picLocks noChangeAspect="1"/>
        </xdr:cNvPicPr>
      </xdr:nvPicPr>
      <xdr:blipFill rotWithShape="1">
        <a:blip xmlns:r="http://schemas.openxmlformats.org/officeDocument/2006/relationships" r:embed="rId118" cstate="print">
          <a:extLst>
            <a:ext uri="{28A0092B-C50C-407E-A947-70E740481C1C}">
              <a14:useLocalDpi xmlns:a14="http://schemas.microsoft.com/office/drawing/2010/main" val="0"/>
            </a:ext>
          </a:extLst>
        </a:blip>
        <a:srcRect l="3546" t="33635" r="871" b="24214"/>
        <a:stretch/>
      </xdr:blipFill>
      <xdr:spPr>
        <a:xfrm>
          <a:off x="7496176" y="4631842"/>
          <a:ext cx="709085" cy="312692"/>
        </a:xfrm>
        <a:prstGeom prst="rect">
          <a:avLst/>
        </a:prstGeom>
      </xdr:spPr>
    </xdr:pic>
    <xdr:clientData/>
  </xdr:oneCellAnchor>
  <xdr:oneCellAnchor>
    <xdr:from>
      <xdr:col>8</xdr:col>
      <xdr:colOff>148167</xdr:colOff>
      <xdr:row>93</xdr:row>
      <xdr:rowOff>21167</xdr:rowOff>
    </xdr:from>
    <xdr:ext cx="550334" cy="550334"/>
    <xdr:pic>
      <xdr:nvPicPr>
        <xdr:cNvPr id="125" name="Picture 124">
          <a:extLst>
            <a:ext uri="{FF2B5EF4-FFF2-40B4-BE49-F238E27FC236}">
              <a16:creationId xmlns="" xmlns:a16="http://schemas.microsoft.com/office/drawing/2014/main" id="{8955F3F8-0E14-4E6E-951D-783545682A06}"/>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7596717" y="58542767"/>
          <a:ext cx="550334" cy="550334"/>
        </a:xfrm>
        <a:prstGeom prst="rect">
          <a:avLst/>
        </a:prstGeom>
      </xdr:spPr>
    </xdr:pic>
    <xdr:clientData/>
  </xdr:oneCellAnchor>
  <xdr:oneCellAnchor>
    <xdr:from>
      <xdr:col>8</xdr:col>
      <xdr:colOff>148168</xdr:colOff>
      <xdr:row>29</xdr:row>
      <xdr:rowOff>95251</xdr:rowOff>
    </xdr:from>
    <xdr:ext cx="465666" cy="465666"/>
    <xdr:pic>
      <xdr:nvPicPr>
        <xdr:cNvPr id="126" name="Picture 125">
          <a:extLst>
            <a:ext uri="{FF2B5EF4-FFF2-40B4-BE49-F238E27FC236}">
              <a16:creationId xmlns="" xmlns:a16="http://schemas.microsoft.com/office/drawing/2014/main" id="{4FDDC61A-B875-44C4-BEA6-0B769F65BB4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7596718" y="18383251"/>
          <a:ext cx="465666" cy="465666"/>
        </a:xfrm>
        <a:prstGeom prst="rect">
          <a:avLst/>
        </a:prstGeom>
      </xdr:spPr>
    </xdr:pic>
    <xdr:clientData/>
  </xdr:oneCellAnchor>
  <xdr:oneCellAnchor>
    <xdr:from>
      <xdr:col>8</xdr:col>
      <xdr:colOff>63500</xdr:colOff>
      <xdr:row>131</xdr:row>
      <xdr:rowOff>74084</xdr:rowOff>
    </xdr:from>
    <xdr:ext cx="754097" cy="493714"/>
    <xdr:pic>
      <xdr:nvPicPr>
        <xdr:cNvPr id="127" name="Picture 126">
          <a:extLst>
            <a:ext uri="{FF2B5EF4-FFF2-40B4-BE49-F238E27FC236}">
              <a16:creationId xmlns="" xmlns:a16="http://schemas.microsoft.com/office/drawing/2014/main" id="{7C4B26A0-EB6E-4A68-B582-E0A5FE60E34C}"/>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12172" t="31680" r="15741" b="21124"/>
        <a:stretch/>
      </xdr:blipFill>
      <xdr:spPr>
        <a:xfrm>
          <a:off x="7512050" y="82484384"/>
          <a:ext cx="754097" cy="493714"/>
        </a:xfrm>
        <a:prstGeom prst="rect">
          <a:avLst/>
        </a:prstGeom>
      </xdr:spPr>
    </xdr:pic>
    <xdr:clientData/>
  </xdr:oneCellAnchor>
  <xdr:oneCellAnchor>
    <xdr:from>
      <xdr:col>8</xdr:col>
      <xdr:colOff>146268</xdr:colOff>
      <xdr:row>104</xdr:row>
      <xdr:rowOff>555690</xdr:rowOff>
    </xdr:from>
    <xdr:ext cx="562814" cy="771584"/>
    <xdr:pic>
      <xdr:nvPicPr>
        <xdr:cNvPr id="128" name="Picture 127">
          <a:extLst>
            <a:ext uri="{FF2B5EF4-FFF2-40B4-BE49-F238E27FC236}">
              <a16:creationId xmlns="" xmlns:a16="http://schemas.microsoft.com/office/drawing/2014/main" id="{8F9AF210-EF48-49AE-ADDC-4B5E467BCC30}"/>
            </a:ext>
          </a:extLst>
        </xdr:cNvPr>
        <xdr:cNvPicPr>
          <a:picLocks noChangeAspect="1"/>
        </xdr:cNvPicPr>
      </xdr:nvPicPr>
      <xdr:blipFill>
        <a:blip xmlns:r="http://schemas.openxmlformats.org/officeDocument/2006/relationships" r:embed="rId121" cstate="print">
          <a:extLst>
            <a:ext uri="{BEBA8EAE-BF5A-486C-A8C5-ECC9F3942E4B}">
              <a14:imgProps xmlns:a14="http://schemas.microsoft.com/office/drawing/2010/main">
                <a14:imgLayer r:embed="rId122">
                  <a14:imgEffect>
                    <a14:backgroundRemoval t="10000" b="90000" l="10000" r="90000">
                      <a14:backgroundMark x1="25817" y1="73194" x2="25817" y2="73194"/>
                      <a14:backgroundMark x1="37733" y1="67899" x2="37733" y2="67899"/>
                    </a14:backgroundRemoval>
                  </a14:imgEffect>
                </a14:imgLayer>
              </a14:imgProps>
            </a:ext>
            <a:ext uri="{28A0092B-C50C-407E-A947-70E740481C1C}">
              <a14:useLocalDpi xmlns:a14="http://schemas.microsoft.com/office/drawing/2010/main" val="0"/>
            </a:ext>
          </a:extLst>
        </a:blip>
        <a:stretch>
          <a:fillRect/>
        </a:stretch>
      </xdr:blipFill>
      <xdr:spPr>
        <a:xfrm rot="5400000">
          <a:off x="7490433" y="66096825"/>
          <a:ext cx="771584" cy="562814"/>
        </a:xfrm>
        <a:prstGeom prst="rect">
          <a:avLst/>
        </a:prstGeom>
      </xdr:spPr>
    </xdr:pic>
    <xdr:clientData/>
  </xdr:oneCellAnchor>
  <xdr:oneCellAnchor>
    <xdr:from>
      <xdr:col>8</xdr:col>
      <xdr:colOff>86253</xdr:colOff>
      <xdr:row>18</xdr:row>
      <xdr:rowOff>42338</xdr:rowOff>
    </xdr:from>
    <xdr:ext cx="411163" cy="548216"/>
    <xdr:pic>
      <xdr:nvPicPr>
        <xdr:cNvPr id="129" name="Picture 128">
          <a:extLst>
            <a:ext uri="{FF2B5EF4-FFF2-40B4-BE49-F238E27FC236}">
              <a16:creationId xmlns="" xmlns:a16="http://schemas.microsoft.com/office/drawing/2014/main" id="{2BEDE24B-88B3-4C8B-8D2E-A26EBE4060D5}"/>
            </a:ext>
          </a:extLst>
        </xdr:cNvPr>
        <xdr:cNvPicPr>
          <a:picLocks noChangeAspect="1"/>
        </xdr:cNvPicPr>
      </xdr:nvPicPr>
      <xdr:blipFill>
        <a:blip xmlns:r="http://schemas.openxmlformats.org/officeDocument/2006/relationships" r:embed="rId123" cstate="print">
          <a:extLst>
            <a:ext uri="{BEBA8EAE-BF5A-486C-A8C5-ECC9F3942E4B}">
              <a14:imgProps xmlns:a14="http://schemas.microsoft.com/office/drawing/2010/main">
                <a14:imgLayer r:embed="rId124">
                  <a14:imgEffect>
                    <a14:backgroundRemoval t="9928" b="89906" l="0" r="96773">
                      <a14:backgroundMark x1="24328" y1="69222" x2="24328" y2="69222"/>
                      <a14:backgroundMark x1="42284" y1="66795" x2="42284" y2="66795"/>
                      <a14:backgroundMark x1="50807" y1="64368" x2="50807" y2="64368"/>
                      <a14:backgroundMark x1="58751" y1="62714" x2="58751" y2="62714"/>
                    </a14:backgroundRemoval>
                  </a14:imgEffect>
                </a14:imgLayer>
              </a14:imgProps>
            </a:ext>
            <a:ext uri="{28A0092B-C50C-407E-A947-70E740481C1C}">
              <a14:useLocalDpi xmlns:a14="http://schemas.microsoft.com/office/drawing/2010/main" val="0"/>
            </a:ext>
          </a:extLst>
        </a:blip>
        <a:stretch>
          <a:fillRect/>
        </a:stretch>
      </xdr:blipFill>
      <xdr:spPr>
        <a:xfrm rot="5400000">
          <a:off x="7466277" y="11483714"/>
          <a:ext cx="548216" cy="411163"/>
        </a:xfrm>
        <a:prstGeom prst="rect">
          <a:avLst/>
        </a:prstGeom>
      </xdr:spPr>
    </xdr:pic>
    <xdr:clientData/>
  </xdr:oneCellAnchor>
  <xdr:oneCellAnchor>
    <xdr:from>
      <xdr:col>8</xdr:col>
      <xdr:colOff>179915</xdr:colOff>
      <xdr:row>77</xdr:row>
      <xdr:rowOff>20466</xdr:rowOff>
    </xdr:from>
    <xdr:ext cx="433917" cy="578556"/>
    <xdr:pic>
      <xdr:nvPicPr>
        <xdr:cNvPr id="130" name="Picture 129">
          <a:extLst>
            <a:ext uri="{FF2B5EF4-FFF2-40B4-BE49-F238E27FC236}">
              <a16:creationId xmlns="" xmlns:a16="http://schemas.microsoft.com/office/drawing/2014/main" id="{87D15F58-BE28-443C-813A-69CE93AE463C}"/>
            </a:ext>
          </a:extLst>
        </xdr:cNvPr>
        <xdr:cNvPicPr>
          <a:picLocks noChangeAspect="1"/>
        </xdr:cNvPicPr>
      </xdr:nvPicPr>
      <xdr:blipFill>
        <a:blip xmlns:r="http://schemas.openxmlformats.org/officeDocument/2006/relationships" r:embed="rId125" cstate="print">
          <a:extLst>
            <a:ext uri="{BEBA8EAE-BF5A-486C-A8C5-ECC9F3942E4B}">
              <a14:imgProps xmlns:a14="http://schemas.microsoft.com/office/drawing/2010/main">
                <a14:imgLayer r:embed="rId126">
                  <a14:imgEffect>
                    <a14:backgroundRemoval t="2813" b="89961" l="9971" r="100000"/>
                  </a14:imgEffect>
                </a14:imgLayer>
              </a14:imgProps>
            </a:ext>
            <a:ext uri="{28A0092B-C50C-407E-A947-70E740481C1C}">
              <a14:useLocalDpi xmlns:a14="http://schemas.microsoft.com/office/drawing/2010/main" val="0"/>
            </a:ext>
          </a:extLst>
        </a:blip>
        <a:stretch>
          <a:fillRect/>
        </a:stretch>
      </xdr:blipFill>
      <xdr:spPr>
        <a:xfrm rot="5400000">
          <a:off x="7556146" y="48555985"/>
          <a:ext cx="578556" cy="433917"/>
        </a:xfrm>
        <a:prstGeom prst="rect">
          <a:avLst/>
        </a:prstGeom>
      </xdr:spPr>
    </xdr:pic>
    <xdr:clientData/>
  </xdr:oneCellAnchor>
  <xdr:oneCellAnchor>
    <xdr:from>
      <xdr:col>8</xdr:col>
      <xdr:colOff>50797</xdr:colOff>
      <xdr:row>18</xdr:row>
      <xdr:rowOff>472725</xdr:rowOff>
    </xdr:from>
    <xdr:ext cx="590019" cy="797275"/>
    <xdr:pic>
      <xdr:nvPicPr>
        <xdr:cNvPr id="131" name="Picture 130">
          <a:extLst>
            <a:ext uri="{FF2B5EF4-FFF2-40B4-BE49-F238E27FC236}">
              <a16:creationId xmlns="" xmlns:a16="http://schemas.microsoft.com/office/drawing/2014/main" id="{A580EDB3-E5D4-419F-ABC5-3083EE36A0F2}"/>
            </a:ext>
          </a:extLst>
        </xdr:cNvPr>
        <xdr:cNvPicPr>
          <a:picLocks noChangeAspect="1"/>
        </xdr:cNvPicPr>
      </xdr:nvPicPr>
      <xdr:blipFill>
        <a:blip xmlns:r="http://schemas.openxmlformats.org/officeDocument/2006/relationships" r:embed="rId127" cstate="print">
          <a:extLst>
            <a:ext uri="{BEBA8EAE-BF5A-486C-A8C5-ECC9F3942E4B}">
              <a14:imgProps xmlns:a14="http://schemas.microsoft.com/office/drawing/2010/main">
                <a14:imgLayer r:embed="rId128">
                  <a14:imgEffect>
                    <a14:backgroundRemoval t="1213" b="89961" l="9971" r="95242">
                      <a14:backgroundMark x1="89408" y1="83122" x2="89408" y2="83122"/>
                    </a14:backgroundRemoval>
                  </a14:imgEffect>
                </a14:imgLayer>
              </a14:imgProps>
            </a:ext>
            <a:ext uri="{28A0092B-C50C-407E-A947-70E740481C1C}">
              <a14:useLocalDpi xmlns:a14="http://schemas.microsoft.com/office/drawing/2010/main" val="0"/>
            </a:ext>
          </a:extLst>
        </a:blip>
        <a:stretch>
          <a:fillRect/>
        </a:stretch>
      </xdr:blipFill>
      <xdr:spPr>
        <a:xfrm rot="5400000">
          <a:off x="7395719" y="11949203"/>
          <a:ext cx="797275" cy="590019"/>
        </a:xfrm>
        <a:prstGeom prst="rect">
          <a:avLst/>
        </a:prstGeom>
      </xdr:spPr>
    </xdr:pic>
    <xdr:clientData/>
  </xdr:oneCellAnchor>
  <xdr:oneCellAnchor>
    <xdr:from>
      <xdr:col>8</xdr:col>
      <xdr:colOff>188383</xdr:colOff>
      <xdr:row>123</xdr:row>
      <xdr:rowOff>52919</xdr:rowOff>
    </xdr:from>
    <xdr:ext cx="396347" cy="528463"/>
    <xdr:pic>
      <xdr:nvPicPr>
        <xdr:cNvPr id="132" name="Picture 131">
          <a:extLst>
            <a:ext uri="{FF2B5EF4-FFF2-40B4-BE49-F238E27FC236}">
              <a16:creationId xmlns="" xmlns:a16="http://schemas.microsoft.com/office/drawing/2014/main" id="{319F5A1A-680A-4E5F-B7AE-A2C0EEBEB642}"/>
            </a:ext>
          </a:extLst>
        </xdr:cNvPr>
        <xdr:cNvPicPr>
          <a:picLocks noChangeAspect="1"/>
        </xdr:cNvPicPr>
      </xdr:nvPicPr>
      <xdr:blipFill>
        <a:blip xmlns:r="http://schemas.openxmlformats.org/officeDocument/2006/relationships" r:embed="rId129" cstate="print">
          <a:extLst>
            <a:ext uri="{BEBA8EAE-BF5A-486C-A8C5-ECC9F3942E4B}">
              <a14:imgProps xmlns:a14="http://schemas.microsoft.com/office/drawing/2010/main">
                <a14:imgLayer r:embed="rId130">
                  <a14:imgEffect>
                    <a14:backgroundRemoval t="0" b="100000" l="3393" r="100000">
                      <a14:backgroundMark x1="7365" y1="90403" x2="7365" y2="90403"/>
                      <a14:backgroundMark x1="8813" y1="76613" x2="8813" y2="76613"/>
                    </a14:backgroundRemoval>
                  </a14:imgEffect>
                </a14:imgLayer>
              </a14:imgProps>
            </a:ext>
            <a:ext uri="{28A0092B-C50C-407E-A947-70E740481C1C}">
              <a14:useLocalDpi xmlns:a14="http://schemas.microsoft.com/office/drawing/2010/main" val="0"/>
            </a:ext>
          </a:extLst>
        </a:blip>
        <a:stretch>
          <a:fillRect/>
        </a:stretch>
      </xdr:blipFill>
      <xdr:spPr>
        <a:xfrm rot="5400000">
          <a:off x="7570875" y="77500077"/>
          <a:ext cx="528463" cy="396347"/>
        </a:xfrm>
        <a:prstGeom prst="rect">
          <a:avLst/>
        </a:prstGeom>
      </xdr:spPr>
    </xdr:pic>
    <xdr:clientData/>
  </xdr:oneCellAnchor>
  <xdr:oneCellAnchor>
    <xdr:from>
      <xdr:col>8</xdr:col>
      <xdr:colOff>264582</xdr:colOff>
      <xdr:row>88</xdr:row>
      <xdr:rowOff>64562</xdr:rowOff>
    </xdr:from>
    <xdr:ext cx="381000" cy="492237"/>
    <xdr:pic>
      <xdr:nvPicPr>
        <xdr:cNvPr id="133" name="Picture 132">
          <a:extLst>
            <a:ext uri="{FF2B5EF4-FFF2-40B4-BE49-F238E27FC236}">
              <a16:creationId xmlns="" xmlns:a16="http://schemas.microsoft.com/office/drawing/2014/main" id="{74E2B94A-5671-4FDB-B9F9-563E46459F01}"/>
            </a:ext>
          </a:extLst>
        </xdr:cNvPr>
        <xdr:cNvPicPr>
          <a:picLocks noChangeAspect="1"/>
        </xdr:cNvPicPr>
      </xdr:nvPicPr>
      <xdr:blipFill>
        <a:blip xmlns:r="http://schemas.openxmlformats.org/officeDocument/2006/relationships" r:embed="rId131" cstate="print">
          <a:extLst>
            <a:ext uri="{BEBA8EAE-BF5A-486C-A8C5-ECC9F3942E4B}">
              <a14:imgProps xmlns:a14="http://schemas.microsoft.com/office/drawing/2010/main">
                <a14:imgLayer r:embed="rId132">
                  <a14:imgEffect>
                    <a14:backgroundRemoval t="0" b="100000" l="662" r="100000">
                      <a14:backgroundMark x1="5834" y1="86707" x2="5834" y2="86707"/>
                      <a14:backgroundMark x1="6372" y1="73525" x2="6372" y2="73525"/>
                      <a14:backgroundMark x1="6372" y1="64148" x2="6372" y2="61059"/>
                      <a14:backgroundMark x1="3682" y1="23938" x2="3682" y2="23938"/>
                      <a14:backgroundMark x1="4220" y1="14562" x2="4220" y2="14562"/>
                      <a14:backgroundMark x1="4220" y1="36735" x2="4220" y2="36735"/>
                      <a14:backgroundMark x1="3682" y1="54771" x2="3682" y2="54771"/>
                      <a14:backgroundMark x1="3144" y1="71429" x2="3144" y2="71429"/>
                    </a14:backgroundRemoval>
                  </a14:imgEffect>
                </a14:imgLayer>
              </a14:imgProps>
            </a:ext>
            <a:ext uri="{28A0092B-C50C-407E-A947-70E740481C1C}">
              <a14:useLocalDpi xmlns:a14="http://schemas.microsoft.com/office/drawing/2010/main" val="0"/>
            </a:ext>
          </a:extLst>
        </a:blip>
        <a:stretch>
          <a:fillRect/>
        </a:stretch>
      </xdr:blipFill>
      <xdr:spPr>
        <a:xfrm rot="5400000">
          <a:off x="7657513" y="55498531"/>
          <a:ext cx="492237" cy="381000"/>
        </a:xfrm>
        <a:prstGeom prst="rect">
          <a:avLst/>
        </a:prstGeom>
      </xdr:spPr>
    </xdr:pic>
    <xdr:clientData/>
  </xdr:oneCellAnchor>
  <xdr:oneCellAnchor>
    <xdr:from>
      <xdr:col>8</xdr:col>
      <xdr:colOff>158750</xdr:colOff>
      <xdr:row>120</xdr:row>
      <xdr:rowOff>95369</xdr:rowOff>
    </xdr:from>
    <xdr:ext cx="497417" cy="459153"/>
    <xdr:pic>
      <xdr:nvPicPr>
        <xdr:cNvPr id="134" name="Picture 133">
          <a:extLst>
            <a:ext uri="{FF2B5EF4-FFF2-40B4-BE49-F238E27FC236}">
              <a16:creationId xmlns="" xmlns:a16="http://schemas.microsoft.com/office/drawing/2014/main" id="{7923FC7A-23FB-40BD-A988-5656A56FB01E}"/>
            </a:ext>
          </a:extLst>
        </xdr:cNvPr>
        <xdr:cNvPicPr>
          <a:picLocks noChangeAspect="1"/>
        </xdr:cNvPicPr>
      </xdr:nvPicPr>
      <xdr:blipFill>
        <a:blip xmlns:r="http://schemas.openxmlformats.org/officeDocument/2006/relationships" r:embed="rId133">
          <a:extLst>
            <a:ext uri="{BEBA8EAE-BF5A-486C-A8C5-ECC9F3942E4B}">
              <a14:imgProps xmlns:a14="http://schemas.microsoft.com/office/drawing/2010/main">
                <a14:imgLayer r:embed="rId134">
                  <a14:imgEffect>
                    <a14:backgroundRemoval t="0" b="97222" l="5128" r="100000">
                      <a14:backgroundMark x1="87179" y1="22222" x2="87179" y2="22222"/>
                      <a14:backgroundMark x1="69231" y1="13889" x2="69231" y2="13889"/>
                    </a14:backgroundRemoval>
                  </a14:imgEffect>
                </a14:imgLayer>
              </a14:imgProps>
            </a:ext>
          </a:extLst>
        </a:blip>
        <a:stretch>
          <a:fillRect/>
        </a:stretch>
      </xdr:blipFill>
      <xdr:spPr>
        <a:xfrm>
          <a:off x="7607300" y="75590519"/>
          <a:ext cx="497417" cy="459153"/>
        </a:xfrm>
        <a:prstGeom prst="rect">
          <a:avLst/>
        </a:prstGeom>
      </xdr:spPr>
    </xdr:pic>
    <xdr:clientData/>
  </xdr:oneCellAnchor>
  <xdr:oneCellAnchor>
    <xdr:from>
      <xdr:col>8</xdr:col>
      <xdr:colOff>169333</xdr:colOff>
      <xdr:row>117</xdr:row>
      <xdr:rowOff>42334</xdr:rowOff>
    </xdr:from>
    <xdr:ext cx="412750" cy="550333"/>
    <xdr:pic>
      <xdr:nvPicPr>
        <xdr:cNvPr id="135" name="Picture 134">
          <a:extLst>
            <a:ext uri="{FF2B5EF4-FFF2-40B4-BE49-F238E27FC236}">
              <a16:creationId xmlns="" xmlns:a16="http://schemas.microsoft.com/office/drawing/2014/main" id="{08B88166-D60E-4096-9131-5F5CA803AB25}"/>
            </a:ext>
          </a:extLst>
        </xdr:cNvPr>
        <xdr:cNvPicPr>
          <a:picLocks noChangeAspect="1"/>
        </xdr:cNvPicPr>
      </xdr:nvPicPr>
      <xdr:blipFill rotWithShape="1">
        <a:blip xmlns:r="http://schemas.openxmlformats.org/officeDocument/2006/relationships" r:embed="rId135" cstate="print">
          <a:extLst>
            <a:ext uri="{BEBA8EAE-BF5A-486C-A8C5-ECC9F3942E4B}">
              <a14:imgProps xmlns:a14="http://schemas.microsoft.com/office/drawing/2010/main">
                <a14:imgLayer r:embed="rId136">
                  <a14:imgEffect>
                    <a14:backgroundRemoval t="10000" b="90000" l="10000" r="90000"/>
                  </a14:imgEffect>
                </a14:imgLayer>
              </a14:imgProps>
            </a:ext>
            <a:ext uri="{28A0092B-C50C-407E-A947-70E740481C1C}">
              <a14:useLocalDpi xmlns:a14="http://schemas.microsoft.com/office/drawing/2010/main" val="0"/>
            </a:ext>
          </a:extLst>
        </a:blip>
        <a:srcRect l="21127" t="14138" r="5634" b="12622"/>
        <a:stretch/>
      </xdr:blipFill>
      <xdr:spPr>
        <a:xfrm rot="5400000">
          <a:off x="7549091" y="73720326"/>
          <a:ext cx="550333" cy="412750"/>
        </a:xfrm>
        <a:prstGeom prst="rect">
          <a:avLst/>
        </a:prstGeom>
      </xdr:spPr>
    </xdr:pic>
    <xdr:clientData/>
  </xdr:oneCellAnchor>
  <xdr:oneCellAnchor>
    <xdr:from>
      <xdr:col>8</xdr:col>
      <xdr:colOff>173019</xdr:colOff>
      <xdr:row>134</xdr:row>
      <xdr:rowOff>608167</xdr:rowOff>
    </xdr:from>
    <xdr:ext cx="440814" cy="598335"/>
    <xdr:pic>
      <xdr:nvPicPr>
        <xdr:cNvPr id="136" name="Picture 135">
          <a:extLst>
            <a:ext uri="{FF2B5EF4-FFF2-40B4-BE49-F238E27FC236}">
              <a16:creationId xmlns="" xmlns:a16="http://schemas.microsoft.com/office/drawing/2014/main" id="{CFBCC901-C1A1-4042-9876-FB77154CC6FE}"/>
            </a:ext>
          </a:extLst>
        </xdr:cNvPr>
        <xdr:cNvPicPr>
          <a:picLocks noChangeAspect="1"/>
        </xdr:cNvPicPr>
      </xdr:nvPicPr>
      <xdr:blipFill>
        <a:blip xmlns:r="http://schemas.openxmlformats.org/officeDocument/2006/relationships" r:embed="rId137" cstate="print">
          <a:extLst>
            <a:ext uri="{BEBA8EAE-BF5A-486C-A8C5-ECC9F3942E4B}">
              <a14:imgProps xmlns:a14="http://schemas.microsoft.com/office/drawing/2010/main">
                <a14:imgLayer r:embed="rId138">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rot="5400000">
          <a:off x="7542808" y="84983178"/>
          <a:ext cx="598335" cy="440814"/>
        </a:xfrm>
        <a:prstGeom prst="rect">
          <a:avLst/>
        </a:prstGeom>
      </xdr:spPr>
    </xdr:pic>
    <xdr:clientData/>
  </xdr:oneCellAnchor>
  <xdr:oneCellAnchor>
    <xdr:from>
      <xdr:col>8</xdr:col>
      <xdr:colOff>135466</xdr:colOff>
      <xdr:row>147</xdr:row>
      <xdr:rowOff>383120</xdr:rowOff>
    </xdr:from>
    <xdr:ext cx="657224" cy="886880"/>
    <xdr:pic>
      <xdr:nvPicPr>
        <xdr:cNvPr id="137" name="Picture 136">
          <a:extLst>
            <a:ext uri="{FF2B5EF4-FFF2-40B4-BE49-F238E27FC236}">
              <a16:creationId xmlns="" xmlns:a16="http://schemas.microsoft.com/office/drawing/2014/main" id="{73A20790-61FC-4D64-98B4-A093419E8BDE}"/>
            </a:ext>
          </a:extLst>
        </xdr:cNvPr>
        <xdr:cNvPicPr>
          <a:picLocks noChangeAspect="1"/>
        </xdr:cNvPicPr>
      </xdr:nvPicPr>
      <xdr:blipFill>
        <a:blip xmlns:r="http://schemas.openxmlformats.org/officeDocument/2006/relationships" r:embed="rId139" cstate="print">
          <a:extLst>
            <a:ext uri="{BEBA8EAE-BF5A-486C-A8C5-ECC9F3942E4B}">
              <a14:imgProps xmlns:a14="http://schemas.microsoft.com/office/drawing/2010/main">
                <a14:imgLayer r:embed="rId14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rot="5400000">
          <a:off x="7469188" y="92966648"/>
          <a:ext cx="886880" cy="657224"/>
        </a:xfrm>
        <a:prstGeom prst="rect">
          <a:avLst/>
        </a:prstGeom>
      </xdr:spPr>
    </xdr:pic>
    <xdr:clientData/>
  </xdr:oneCellAnchor>
  <xdr:oneCellAnchor>
    <xdr:from>
      <xdr:col>8</xdr:col>
      <xdr:colOff>29633</xdr:colOff>
      <xdr:row>148</xdr:row>
      <xdr:rowOff>149935</xdr:rowOff>
    </xdr:from>
    <xdr:ext cx="1047748" cy="1411110"/>
    <xdr:pic>
      <xdr:nvPicPr>
        <xdr:cNvPr id="138" name="Picture 137">
          <a:extLst>
            <a:ext uri="{FF2B5EF4-FFF2-40B4-BE49-F238E27FC236}">
              <a16:creationId xmlns="" xmlns:a16="http://schemas.microsoft.com/office/drawing/2014/main" id="{CA50F535-FF07-4434-B605-B367FDFA1C48}"/>
            </a:ext>
          </a:extLst>
        </xdr:cNvPr>
        <xdr:cNvPicPr>
          <a:picLocks noChangeAspect="1"/>
        </xdr:cNvPicPr>
      </xdr:nvPicPr>
      <xdr:blipFill>
        <a:blip xmlns:r="http://schemas.openxmlformats.org/officeDocument/2006/relationships" r:embed="rId141" cstate="print">
          <a:extLst>
            <a:ext uri="{BEBA8EAE-BF5A-486C-A8C5-ECC9F3942E4B}">
              <a14:imgProps xmlns:a14="http://schemas.microsoft.com/office/drawing/2010/main">
                <a14:imgLayer r:embed="rId142">
                  <a14:imgEffect>
                    <a14:backgroundRemoval t="10425" b="97022" l="5668" r="98304">
                      <a14:backgroundMark x1="31899" y1="65637" x2="31899" y2="65637"/>
                      <a14:backgroundMark x1="29210" y1="75896" x2="29210" y2="75896"/>
                      <a14:backgroundMark x1="19652" y1="80419" x2="19652" y2="80419"/>
                      <a14:backgroundMark x1="12495" y1="82460" x2="13157" y2="76558"/>
                      <a14:backgroundMark x1="17253" y1="39327" x2="17253" y2="39327"/>
                      <a14:backgroundMark x1="21680" y1="33646" x2="21680" y2="33646"/>
                      <a14:backgroundMark x1="24576" y1="50193" x2="24576" y2="50193"/>
                      <a14:backgroundMark x1="21680" y1="64534" x2="21680" y2="64534"/>
                      <a14:backgroundMark x1="20687" y1="81302" x2="20687" y2="81302"/>
                      <a14:backgroundMark x1="27141" y1="84060" x2="27844" y2="84280"/>
                      <a14:backgroundMark x1="32106" y1="86762" x2="32106" y2="86762"/>
                      <a14:backgroundMark x1="20521" y1="35687" x2="20521" y2="35687"/>
                      <a14:backgroundMark x1="18453" y1="36790" x2="18453" y2="36790"/>
                      <a14:backgroundMark x1="25279" y1="49752" x2="27472" y2="49752"/>
                      <a14:backgroundMark x1="28837" y1="46111" x2="24079" y2="35907"/>
                      <a14:backgroundMark x1="20314" y1="17044" x2="20314" y2="17044"/>
                      <a14:backgroundMark x1="19487" y1="44512" x2="19487" y2="44512"/>
                      <a14:backgroundMark x1="16425" y1="52454" x2="16425" y2="52454"/>
                      <a14:backgroundMark x1="23914" y1="53833" x2="23914" y2="53833"/>
                      <a14:backgroundMark x1="25445" y1="30226" x2="25445" y2="30226"/>
                      <a14:backgroundMark x1="21349" y1="23166" x2="21349" y2="23166"/>
                      <a14:backgroundMark x1="20314" y1="15444" x2="20314" y2="15444"/>
                      <a14:backgroundMark x1="32602" y1="44732" x2="32602" y2="44732"/>
                      <a14:backgroundMark x1="34464" y1="51131" x2="34464" y2="51131"/>
                      <a14:backgroundMark x1="34630" y1="55654" x2="34630" y2="55654"/>
                      <a14:backgroundMark x1="20852" y1="52730" x2="20852" y2="52730"/>
                      <a14:backgroundMark x1="17791" y1="44291" x2="17791" y2="44291"/>
                      <a14:backgroundMark x1="28341" y1="12962" x2="28341" y2="12962"/>
                      <a14:backgroundMark x1="30203" y1="20905" x2="31072" y2="23387"/>
                      <a14:backgroundMark x1="31237" y1="31826" x2="31237" y2="31826"/>
                      <a14:backgroundMark x1="35002" y1="33370" x2="35002" y2="33370"/>
                      <a14:backgroundMark x1="30906" y1="12741" x2="30906" y2="12741"/>
                      <a14:backgroundMark x1="37526" y1="14065" x2="37526" y2="14065"/>
                      <a14:backgroundMark x1="40257" y1="91120" x2="40257" y2="91120"/>
                      <a14:backgroundMark x1="34133" y1="90182" x2="34133" y2="90182"/>
                      <a14:backgroundMark x1="26810" y1="91120" x2="26810" y2="91120"/>
                      <a14:backgroundMark x1="24741" y1="91340" x2="24741" y2="91340"/>
                      <a14:backgroundMark x1="24948" y1="67457" x2="24948" y2="67457"/>
                      <a14:backgroundMark x1="31403" y1="81798" x2="31403" y2="81798"/>
                      <a14:backgroundMark x1="32437" y1="77716" x2="32602" y2="76779"/>
                      <a14:backgroundMark x1="34299" y1="64038" x2="34299" y2="64038"/>
                      <a14:backgroundMark x1="36367" y1="38610" x2="36367" y2="38610"/>
                      <a14:backgroundMark x1="36533" y1="44291" x2="36533" y2="44291"/>
                      <a14:backgroundMark x1="37029" y1="51351" x2="37029" y2="51351"/>
                      <a14:backgroundMark x1="34630" y1="57915" x2="34630" y2="57915"/>
                      <a14:backgroundMark x1="30203" y1="61997" x2="30203" y2="61997"/>
                      <a14:backgroundMark x1="33264" y1="76558" x2="33264" y2="76558"/>
                      <a14:backgroundMark x1="29872" y1="83398" x2="29872" y2="84721"/>
                      <a14:backgroundMark x1="43691" y1="92664" x2="43691" y2="92664"/>
                      <a14:backgroundMark x1="30534" y1="89961" x2="30534" y2="89961"/>
                      <a14:backgroundMark x1="29541" y1="91340" x2="29541" y2="91340"/>
                      <a14:backgroundMark x1="38064" y1="37728" x2="38064" y2="37728"/>
                      <a14:backgroundMark x1="37898" y1="39989" x2="37898" y2="42030"/>
                      <a14:backgroundMark x1="38064" y1="47490" x2="38064" y2="47490"/>
                      <a14:backgroundMark x1="33968" y1="58632" x2="33968" y2="58632"/>
                      <a14:backgroundMark x1="37898" y1="92443" x2="37898" y2="92443"/>
                      <a14:backgroundMark x1="37898" y1="93161" x2="37898" y2="93161"/>
                      <a14:backgroundMark x1="37029" y1="91340" x2="37029" y2="91340"/>
                      <a14:backgroundMark x1="37029" y1="91340" x2="37029" y2="91340"/>
                      <a14:backgroundMark x1="42656" y1="89520" x2="42656" y2="89520"/>
                      <a14:backgroundMark x1="43318" y1="90403" x2="43318" y2="90403"/>
                      <a14:backgroundMark x1="38891" y1="88582" x2="38891" y2="88582"/>
                      <a14:backgroundMark x1="40588" y1="94043" x2="40588" y2="94043"/>
                      <a14:backgroundMark x1="43691" y1="93381" x2="43691" y2="93381"/>
                    </a14:backgroundRemoval>
                  </a14:imgEffect>
                </a14:imgLayer>
              </a14:imgProps>
            </a:ext>
            <a:ext uri="{28A0092B-C50C-407E-A947-70E740481C1C}">
              <a14:useLocalDpi xmlns:a14="http://schemas.microsoft.com/office/drawing/2010/main" val="0"/>
            </a:ext>
          </a:extLst>
        </a:blip>
        <a:stretch>
          <a:fillRect/>
        </a:stretch>
      </xdr:blipFill>
      <xdr:spPr>
        <a:xfrm rot="5400000">
          <a:off x="7296502" y="93428966"/>
          <a:ext cx="1411110" cy="1047748"/>
        </a:xfrm>
        <a:prstGeom prst="rect">
          <a:avLst/>
        </a:prstGeom>
      </xdr:spPr>
    </xdr:pic>
    <xdr:clientData/>
  </xdr:oneCellAnchor>
  <xdr:oneCellAnchor>
    <xdr:from>
      <xdr:col>8</xdr:col>
      <xdr:colOff>230275</xdr:colOff>
      <xdr:row>147</xdr:row>
      <xdr:rowOff>116419</xdr:rowOff>
    </xdr:from>
    <xdr:ext cx="394139" cy="476254"/>
    <xdr:pic>
      <xdr:nvPicPr>
        <xdr:cNvPr id="139" name="Picture 138">
          <a:extLst>
            <a:ext uri="{FF2B5EF4-FFF2-40B4-BE49-F238E27FC236}">
              <a16:creationId xmlns="" xmlns:a16="http://schemas.microsoft.com/office/drawing/2014/main" id="{508A9BBC-9617-4449-8743-B304427F6143}"/>
            </a:ext>
          </a:extLst>
        </xdr:cNvPr>
        <xdr:cNvPicPr>
          <a:picLocks noChangeAspect="1"/>
        </xdr:cNvPicPr>
      </xdr:nvPicPr>
      <xdr:blipFill rotWithShape="1">
        <a:blip xmlns:r="http://schemas.openxmlformats.org/officeDocument/2006/relationships" r:embed="rId143" cstate="print">
          <a:extLst>
            <a:ext uri="{BEBA8EAE-BF5A-486C-A8C5-ECC9F3942E4B}">
              <a14:imgProps xmlns:a14="http://schemas.microsoft.com/office/drawing/2010/main">
                <a14:imgLayer r:embed="rId144">
                  <a14:imgEffect>
                    <a14:backgroundRemoval t="6288" b="89796" l="37112" r="88788">
                      <a14:backgroundMark x1="83161" y1="27248" x2="83161" y2="27248"/>
                      <a14:backgroundMark x1="76583" y1="29785" x2="76583" y2="29785"/>
                      <a14:backgroundMark x1="75176" y1="30998" x2="75176" y2="30998"/>
                    </a14:backgroundRemoval>
                  </a14:imgEffect>
                </a14:imgLayer>
              </a14:imgProps>
            </a:ext>
            <a:ext uri="{28A0092B-C50C-407E-A947-70E740481C1C}">
              <a14:useLocalDpi xmlns:a14="http://schemas.microsoft.com/office/drawing/2010/main" val="0"/>
            </a:ext>
          </a:extLst>
        </a:blip>
        <a:srcRect l="55869" r="7722" b="59824"/>
        <a:stretch/>
      </xdr:blipFill>
      <xdr:spPr>
        <a:xfrm rot="5400000">
          <a:off x="7637768" y="92626176"/>
          <a:ext cx="476254" cy="394139"/>
        </a:xfrm>
        <a:prstGeom prst="rect">
          <a:avLst/>
        </a:prstGeom>
      </xdr:spPr>
    </xdr:pic>
    <xdr:clientData/>
  </xdr:oneCellAnchor>
  <xdr:oneCellAnchor>
    <xdr:from>
      <xdr:col>8</xdr:col>
      <xdr:colOff>158750</xdr:colOff>
      <xdr:row>6</xdr:row>
      <xdr:rowOff>50740</xdr:rowOff>
    </xdr:from>
    <xdr:ext cx="560917" cy="546160"/>
    <xdr:pic>
      <xdr:nvPicPr>
        <xdr:cNvPr id="140" name="Picture 139">
          <a:extLst>
            <a:ext uri="{FF2B5EF4-FFF2-40B4-BE49-F238E27FC236}">
              <a16:creationId xmlns="" xmlns:a16="http://schemas.microsoft.com/office/drawing/2014/main" id="{A68057D0-AB40-4845-B916-655BB6363636}"/>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7607300" y="3879790"/>
          <a:ext cx="560917" cy="546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243411</xdr:colOff>
      <xdr:row>2</xdr:row>
      <xdr:rowOff>42333</xdr:rowOff>
    </xdr:from>
    <xdr:ext cx="289870" cy="529167"/>
    <xdr:pic>
      <xdr:nvPicPr>
        <xdr:cNvPr id="141" name="Picture 140" descr="Product Image 1">
          <a:extLst>
            <a:ext uri="{FF2B5EF4-FFF2-40B4-BE49-F238E27FC236}">
              <a16:creationId xmlns="" xmlns:a16="http://schemas.microsoft.com/office/drawing/2014/main" id="{28479C34-C92E-48F8-9970-14F96F417D57}"/>
            </a:ext>
          </a:extLst>
        </xdr:cNvPr>
        <xdr:cNvPicPr>
          <a:picLocks noChangeAspect="1" noChangeArrowheads="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l="22928" t="9624" r="30583" b="4370"/>
        <a:stretch/>
      </xdr:blipFill>
      <xdr:spPr bwMode="auto">
        <a:xfrm>
          <a:off x="7691961" y="1356783"/>
          <a:ext cx="289870" cy="529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179911</xdr:colOff>
      <xdr:row>5</xdr:row>
      <xdr:rowOff>42332</xdr:rowOff>
    </xdr:from>
    <xdr:ext cx="560917" cy="546160"/>
    <xdr:pic>
      <xdr:nvPicPr>
        <xdr:cNvPr id="142" name="Picture 141">
          <a:extLst>
            <a:ext uri="{FF2B5EF4-FFF2-40B4-BE49-F238E27FC236}">
              <a16:creationId xmlns="" xmlns:a16="http://schemas.microsoft.com/office/drawing/2014/main" id="{DA2FF6E3-49F9-4412-8C51-EC8BBFFCBF0A}"/>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7628461" y="3242732"/>
          <a:ext cx="560917" cy="546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253992</xdr:colOff>
      <xdr:row>3</xdr:row>
      <xdr:rowOff>63498</xdr:rowOff>
    </xdr:from>
    <xdr:ext cx="289870" cy="529167"/>
    <xdr:pic>
      <xdr:nvPicPr>
        <xdr:cNvPr id="143" name="Picture 142" descr="Product Image 1">
          <a:extLst>
            <a:ext uri="{FF2B5EF4-FFF2-40B4-BE49-F238E27FC236}">
              <a16:creationId xmlns="" xmlns:a16="http://schemas.microsoft.com/office/drawing/2014/main" id="{3D92CE01-3158-4239-9184-7FA3848AEF32}"/>
            </a:ext>
          </a:extLst>
        </xdr:cNvPr>
        <xdr:cNvPicPr>
          <a:picLocks noChangeAspect="1" noChangeArrowheads="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l="22928" t="9624" r="30583" b="4370"/>
        <a:stretch/>
      </xdr:blipFill>
      <xdr:spPr bwMode="auto">
        <a:xfrm>
          <a:off x="7702542" y="2006598"/>
          <a:ext cx="289870" cy="529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285741</xdr:colOff>
      <xdr:row>4</xdr:row>
      <xdr:rowOff>42332</xdr:rowOff>
    </xdr:from>
    <xdr:ext cx="289870" cy="529167"/>
    <xdr:pic>
      <xdr:nvPicPr>
        <xdr:cNvPr id="144" name="Picture 143" descr="Product Image 1">
          <a:extLst>
            <a:ext uri="{FF2B5EF4-FFF2-40B4-BE49-F238E27FC236}">
              <a16:creationId xmlns="" xmlns:a16="http://schemas.microsoft.com/office/drawing/2014/main" id="{2E1DC9E2-01C0-4620-8027-E94AC1104A55}"/>
            </a:ext>
          </a:extLst>
        </xdr:cNvPr>
        <xdr:cNvPicPr>
          <a:picLocks noChangeAspect="1" noChangeArrowheads="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l="22928" t="9624" r="30583" b="4370"/>
        <a:stretch/>
      </xdr:blipFill>
      <xdr:spPr bwMode="auto">
        <a:xfrm>
          <a:off x="7734291" y="2614082"/>
          <a:ext cx="289870" cy="529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116413</xdr:colOff>
      <xdr:row>71</xdr:row>
      <xdr:rowOff>42332</xdr:rowOff>
    </xdr:from>
    <xdr:ext cx="498469" cy="529167"/>
    <xdr:pic>
      <xdr:nvPicPr>
        <xdr:cNvPr id="145" name="Picture 144">
          <a:extLst>
            <a:ext uri="{FF2B5EF4-FFF2-40B4-BE49-F238E27FC236}">
              <a16:creationId xmlns="" xmlns:a16="http://schemas.microsoft.com/office/drawing/2014/main" id="{88C8AF48-0AA4-4280-BDCB-63D6AA761BF8}"/>
            </a:ext>
          </a:extLst>
        </xdr:cNvPr>
        <xdr:cNvPicPr>
          <a:picLocks noChangeAspect="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l="6018" t="8521" r="15459" b="8120"/>
        <a:stretch/>
      </xdr:blipFill>
      <xdr:spPr>
        <a:xfrm>
          <a:off x="7564963" y="44733632"/>
          <a:ext cx="498469" cy="529167"/>
        </a:xfrm>
        <a:prstGeom prst="rect">
          <a:avLst/>
        </a:prstGeom>
      </xdr:spPr>
    </xdr:pic>
    <xdr:clientData/>
  </xdr:oneCellAnchor>
  <xdr:oneCellAnchor>
    <xdr:from>
      <xdr:col>8</xdr:col>
      <xdr:colOff>127000</xdr:colOff>
      <xdr:row>35</xdr:row>
      <xdr:rowOff>74084</xdr:rowOff>
    </xdr:from>
    <xdr:ext cx="605812" cy="486835"/>
    <xdr:pic>
      <xdr:nvPicPr>
        <xdr:cNvPr id="146" name="Picture 145">
          <a:extLst>
            <a:ext uri="{FF2B5EF4-FFF2-40B4-BE49-F238E27FC236}">
              <a16:creationId xmlns="" xmlns:a16="http://schemas.microsoft.com/office/drawing/2014/main" id="{4DE2E3E5-5F04-4C5D-AD96-57DD7CF4FAC8}"/>
            </a:ext>
          </a:extLst>
        </xdr:cNvPr>
        <xdr:cNvPicPr>
          <a:picLocks noChangeAspect="1"/>
        </xdr:cNvPicPr>
      </xdr:nvPicPr>
      <xdr:blipFill rotWithShape="1">
        <a:blip xmlns:r="http://schemas.openxmlformats.org/officeDocument/2006/relationships" r:embed="rId148" cstate="print">
          <a:extLst>
            <a:ext uri="{28A0092B-C50C-407E-A947-70E740481C1C}">
              <a14:useLocalDpi xmlns:a14="http://schemas.microsoft.com/office/drawing/2010/main" val="0"/>
            </a:ext>
          </a:extLst>
        </a:blip>
        <a:srcRect l="7118" t="19645" r="6250" b="17833"/>
        <a:stretch/>
      </xdr:blipFill>
      <xdr:spPr>
        <a:xfrm>
          <a:off x="7575550" y="22133984"/>
          <a:ext cx="605812" cy="486835"/>
        </a:xfrm>
        <a:prstGeom prst="rect">
          <a:avLst/>
        </a:prstGeom>
      </xdr:spPr>
    </xdr:pic>
    <xdr:clientData/>
  </xdr:oneCellAnchor>
  <xdr:oneCellAnchor>
    <xdr:from>
      <xdr:col>8</xdr:col>
      <xdr:colOff>148166</xdr:colOff>
      <xdr:row>85</xdr:row>
      <xdr:rowOff>52915</xdr:rowOff>
    </xdr:from>
    <xdr:ext cx="550913" cy="529166"/>
    <xdr:pic>
      <xdr:nvPicPr>
        <xdr:cNvPr id="147" name="Picture 146">
          <a:extLst>
            <a:ext uri="{FF2B5EF4-FFF2-40B4-BE49-F238E27FC236}">
              <a16:creationId xmlns="" xmlns:a16="http://schemas.microsoft.com/office/drawing/2014/main" id="{3264324B-55C1-41E3-9195-B205F7B0C339}"/>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20582" t="45316" r="21486" b="17516"/>
        <a:stretch/>
      </xdr:blipFill>
      <xdr:spPr>
        <a:xfrm>
          <a:off x="7596716" y="53545315"/>
          <a:ext cx="550913" cy="529166"/>
        </a:xfrm>
        <a:prstGeom prst="rect">
          <a:avLst/>
        </a:prstGeom>
      </xdr:spPr>
    </xdr:pic>
    <xdr:clientData/>
  </xdr:oneCellAnchor>
  <xdr:oneCellAnchor>
    <xdr:from>
      <xdr:col>8</xdr:col>
      <xdr:colOff>190501</xdr:colOff>
      <xdr:row>74</xdr:row>
      <xdr:rowOff>42333</xdr:rowOff>
    </xdr:from>
    <xdr:ext cx="508000" cy="508000"/>
    <xdr:pic>
      <xdr:nvPicPr>
        <xdr:cNvPr id="148" name="Picture 147">
          <a:extLst>
            <a:ext uri="{FF2B5EF4-FFF2-40B4-BE49-F238E27FC236}">
              <a16:creationId xmlns="" xmlns:a16="http://schemas.microsoft.com/office/drawing/2014/main" id="{1287D4F7-C530-448B-834D-BDCBAEF0A581}"/>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7639051" y="46619583"/>
          <a:ext cx="508000" cy="508000"/>
        </a:xfrm>
        <a:prstGeom prst="rect">
          <a:avLst/>
        </a:prstGeom>
      </xdr:spPr>
    </xdr:pic>
    <xdr:clientData/>
  </xdr:oneCellAnchor>
  <xdr:oneCellAnchor>
    <xdr:from>
      <xdr:col>8</xdr:col>
      <xdr:colOff>137584</xdr:colOff>
      <xdr:row>20</xdr:row>
      <xdr:rowOff>52917</xdr:rowOff>
    </xdr:from>
    <xdr:ext cx="554488" cy="552917"/>
    <xdr:pic>
      <xdr:nvPicPr>
        <xdr:cNvPr id="149" name="Picture 148" descr="Danco 15 PSI Gas Test Gauge">
          <a:extLst>
            <a:ext uri="{FF2B5EF4-FFF2-40B4-BE49-F238E27FC236}">
              <a16:creationId xmlns="" xmlns:a16="http://schemas.microsoft.com/office/drawing/2014/main" id="{9812EE71-6F0D-4599-94A6-D7CD1748042A}"/>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7586134" y="12683067"/>
          <a:ext cx="554488" cy="552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222249</xdr:colOff>
      <xdr:row>44</xdr:row>
      <xdr:rowOff>67445</xdr:rowOff>
    </xdr:from>
    <xdr:ext cx="391584" cy="534662"/>
    <xdr:pic>
      <xdr:nvPicPr>
        <xdr:cNvPr id="150" name="Picture 149">
          <a:extLst>
            <a:ext uri="{FF2B5EF4-FFF2-40B4-BE49-F238E27FC236}">
              <a16:creationId xmlns="" xmlns:a16="http://schemas.microsoft.com/office/drawing/2014/main" id="{444997A0-4303-4798-8489-0D1BA407FFA3}"/>
            </a:ext>
          </a:extLst>
        </xdr:cNvPr>
        <xdr:cNvPicPr>
          <a:picLocks noChangeAspect="1"/>
        </xdr:cNvPicPr>
      </xdr:nvPicPr>
      <xdr:blipFill>
        <a:blip xmlns:r="http://schemas.openxmlformats.org/officeDocument/2006/relationships" r:embed="rId152"/>
        <a:stretch>
          <a:fillRect/>
        </a:stretch>
      </xdr:blipFill>
      <xdr:spPr>
        <a:xfrm>
          <a:off x="7670799" y="27785195"/>
          <a:ext cx="391584" cy="53466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41</xdr:col>
      <xdr:colOff>148165</xdr:colOff>
      <xdr:row>37</xdr:row>
      <xdr:rowOff>74083</xdr:rowOff>
    </xdr:from>
    <xdr:to>
      <xdr:col>41</xdr:col>
      <xdr:colOff>687916</xdr:colOff>
      <xdr:row>39</xdr:row>
      <xdr:rowOff>508552</xdr:rowOff>
    </xdr:to>
    <xdr:pic>
      <xdr:nvPicPr>
        <xdr:cNvPr id="2" name="Picture 1">
          <a:extLst>
            <a:ext uri="{FF2B5EF4-FFF2-40B4-BE49-F238E27FC236}">
              <a16:creationId xmlns="" xmlns:a16="http://schemas.microsoft.com/office/drawing/2014/main" id="{D34B3C15-45FC-47EB-85C4-B14B06A4C1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645" t="11333" r="6925" b="10059"/>
        <a:stretch/>
      </xdr:blipFill>
      <xdr:spPr>
        <a:xfrm>
          <a:off x="49192390" y="15306675"/>
          <a:ext cx="539751" cy="508552"/>
        </a:xfrm>
        <a:prstGeom prst="rect">
          <a:avLst/>
        </a:prstGeom>
      </xdr:spPr>
    </xdr:pic>
    <xdr:clientData/>
  </xdr:twoCellAnchor>
  <xdr:twoCellAnchor editAs="oneCell">
    <xdr:from>
      <xdr:col>41</xdr:col>
      <xdr:colOff>154206</xdr:colOff>
      <xdr:row>63</xdr:row>
      <xdr:rowOff>74079</xdr:rowOff>
    </xdr:from>
    <xdr:to>
      <xdr:col>41</xdr:col>
      <xdr:colOff>693957</xdr:colOff>
      <xdr:row>64</xdr:row>
      <xdr:rowOff>508552</xdr:rowOff>
    </xdr:to>
    <xdr:pic>
      <xdr:nvPicPr>
        <xdr:cNvPr id="3" name="Picture 2">
          <a:extLst>
            <a:ext uri="{FF2B5EF4-FFF2-40B4-BE49-F238E27FC236}">
              <a16:creationId xmlns="" xmlns:a16="http://schemas.microsoft.com/office/drawing/2014/main" id="{A074759F-EB32-41B3-BF3B-C90AB68E10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645" t="11333" r="6925" b="10059"/>
        <a:stretch/>
      </xdr:blipFill>
      <xdr:spPr>
        <a:xfrm>
          <a:off x="49198431" y="27651075"/>
          <a:ext cx="539751" cy="508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orldandmain.sharepoint.com/sites/ProductManagement/Shared%20Documents/Road%20&amp;%20Home/Road%20and%20Home%20Master%20List%20rev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List - Lowe's in store"/>
      <sheetName val="Quote"/>
      <sheetName val="Main Data File"/>
      <sheetName val="4' RV Only"/>
      <sheetName val="4' Mobile Home Only"/>
      <sheetName val="4' RV and Mobile Home"/>
      <sheetName val="8' RV and Mobile Home"/>
      <sheetName val="Item-POG breakout"/>
      <sheetName val="Tooling"/>
      <sheetName val="Lowe's final SKU list"/>
      <sheetName val="UPC"/>
      <sheetName val="Drop Down List"/>
      <sheetName val="Pkg Types"/>
      <sheetName val="Jones Stephens"/>
      <sheetName val="Master List (Arch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P100"/>
  <sheetViews>
    <sheetView tabSelected="1" workbookViewId="0">
      <pane xSplit="1" ySplit="1" topLeftCell="B2" activePane="bottomRight" state="frozen"/>
      <selection pane="topRight" activeCell="B1" sqref="B1"/>
      <selection pane="bottomLeft" activeCell="A5" sqref="A5"/>
      <selection pane="bottomRight" activeCell="A2" sqref="A2"/>
    </sheetView>
  </sheetViews>
  <sheetFormatPr baseColWidth="10" defaultColWidth="11" defaultRowHeight="15" x14ac:dyDescent="0"/>
  <cols>
    <col min="1" max="1" width="9.33203125" customWidth="1"/>
    <col min="2" max="3" width="21.6640625" customWidth="1"/>
    <col min="4" max="5" width="12.83203125" style="172" customWidth="1"/>
    <col min="6" max="6" width="30.5" customWidth="1"/>
    <col min="7" max="7" width="75.5" bestFit="1" customWidth="1"/>
    <col min="8" max="14" width="12.83203125" customWidth="1"/>
    <col min="15" max="15" width="30.5" style="172" customWidth="1"/>
    <col min="16" max="16" width="13.6640625" customWidth="1"/>
  </cols>
  <sheetData>
    <row r="1" spans="1:16" s="14" customFormat="1" ht="30">
      <c r="A1" s="13" t="s">
        <v>7</v>
      </c>
      <c r="B1" s="13" t="s">
        <v>1588</v>
      </c>
      <c r="C1" s="13" t="s">
        <v>1632</v>
      </c>
      <c r="D1" s="13" t="s">
        <v>48</v>
      </c>
      <c r="E1" s="13" t="s">
        <v>49</v>
      </c>
      <c r="F1" s="170" t="s">
        <v>1598</v>
      </c>
      <c r="G1" s="170" t="s">
        <v>1599</v>
      </c>
      <c r="H1" s="15" t="s">
        <v>34</v>
      </c>
      <c r="I1" s="15" t="s">
        <v>35</v>
      </c>
      <c r="J1" s="13" t="s">
        <v>36</v>
      </c>
      <c r="K1" s="13" t="s">
        <v>37</v>
      </c>
      <c r="L1" s="13" t="s">
        <v>38</v>
      </c>
      <c r="M1" s="13" t="s">
        <v>39</v>
      </c>
      <c r="N1" s="13" t="s">
        <v>1491</v>
      </c>
      <c r="O1" s="170" t="s">
        <v>1631</v>
      </c>
      <c r="P1" s="13" t="s">
        <v>14</v>
      </c>
    </row>
    <row r="2" spans="1:16" ht="60">
      <c r="A2" s="290" t="s">
        <v>198</v>
      </c>
      <c r="B2" s="283" t="s">
        <v>527</v>
      </c>
      <c r="C2" s="253" t="s">
        <v>199</v>
      </c>
      <c r="D2" s="253" t="s">
        <v>248</v>
      </c>
      <c r="E2" s="253" t="s">
        <v>1629</v>
      </c>
      <c r="F2" s="171"/>
      <c r="G2" s="171" t="s">
        <v>1591</v>
      </c>
      <c r="H2" s="171" t="s">
        <v>527</v>
      </c>
      <c r="I2" s="171" t="s">
        <v>1587</v>
      </c>
      <c r="J2" s="171" t="s">
        <v>1572</v>
      </c>
      <c r="K2" s="171" t="s">
        <v>1573</v>
      </c>
      <c r="L2" s="171"/>
      <c r="M2" s="171"/>
      <c r="N2" s="171"/>
      <c r="O2" s="171" t="s">
        <v>1630</v>
      </c>
      <c r="P2" s="171" t="s">
        <v>71</v>
      </c>
    </row>
    <row r="3" spans="1:16" ht="75">
      <c r="A3" s="290" t="s">
        <v>94</v>
      </c>
      <c r="B3" s="283" t="s">
        <v>253</v>
      </c>
      <c r="C3" s="253" t="s">
        <v>96</v>
      </c>
      <c r="D3" s="253" t="s">
        <v>248</v>
      </c>
      <c r="E3" s="253" t="s">
        <v>1495</v>
      </c>
      <c r="F3" s="171"/>
      <c r="G3" s="171" t="s">
        <v>1589</v>
      </c>
      <c r="H3" s="171" t="s">
        <v>1511</v>
      </c>
      <c r="I3" s="171" t="s">
        <v>1512</v>
      </c>
      <c r="J3" s="171" t="s">
        <v>1580</v>
      </c>
      <c r="K3" s="171" t="s">
        <v>1579</v>
      </c>
      <c r="L3" s="171" t="s">
        <v>1513</v>
      </c>
      <c r="M3" s="171"/>
      <c r="N3" s="171"/>
      <c r="O3" s="171" t="s">
        <v>1627</v>
      </c>
      <c r="P3" s="171" t="s">
        <v>71</v>
      </c>
    </row>
    <row r="4" spans="1:16" ht="75">
      <c r="A4" s="290" t="s">
        <v>200</v>
      </c>
      <c r="B4" s="283" t="s">
        <v>254</v>
      </c>
      <c r="C4" s="253" t="s">
        <v>201</v>
      </c>
      <c r="D4" s="253" t="s">
        <v>248</v>
      </c>
      <c r="E4" s="253" t="s">
        <v>1495</v>
      </c>
      <c r="F4" s="171"/>
      <c r="G4" s="171" t="s">
        <v>1589</v>
      </c>
      <c r="H4" s="171" t="s">
        <v>1574</v>
      </c>
      <c r="I4" s="171" t="s">
        <v>1512</v>
      </c>
      <c r="J4" s="171" t="s">
        <v>1580</v>
      </c>
      <c r="K4" s="171" t="s">
        <v>1579</v>
      </c>
      <c r="L4" s="171" t="s">
        <v>1513</v>
      </c>
      <c r="M4" s="171"/>
      <c r="N4" s="171"/>
      <c r="O4" s="171" t="s">
        <v>1627</v>
      </c>
      <c r="P4" s="171" t="s">
        <v>71</v>
      </c>
    </row>
    <row r="5" spans="1:16" ht="75">
      <c r="A5" s="290" t="s">
        <v>118</v>
      </c>
      <c r="B5" s="283" t="s">
        <v>303</v>
      </c>
      <c r="C5" s="253" t="s">
        <v>119</v>
      </c>
      <c r="D5" s="253" t="s">
        <v>248</v>
      </c>
      <c r="E5" s="253" t="s">
        <v>1500</v>
      </c>
      <c r="F5" s="171"/>
      <c r="G5" s="171" t="s">
        <v>1590</v>
      </c>
      <c r="H5" s="171" t="s">
        <v>1530</v>
      </c>
      <c r="I5" s="171" t="s">
        <v>1531</v>
      </c>
      <c r="J5" s="171" t="s">
        <v>1583</v>
      </c>
      <c r="K5" s="171"/>
      <c r="L5" s="171"/>
      <c r="M5" s="171"/>
      <c r="N5" s="171"/>
      <c r="O5" s="171" t="s">
        <v>1628</v>
      </c>
      <c r="P5" s="171" t="s">
        <v>71</v>
      </c>
    </row>
    <row r="6" spans="1:16" ht="90">
      <c r="A6" s="290" t="s">
        <v>99</v>
      </c>
      <c r="B6" s="283" t="s">
        <v>262</v>
      </c>
      <c r="C6" s="253" t="s">
        <v>100</v>
      </c>
      <c r="D6" s="253" t="s">
        <v>1493</v>
      </c>
      <c r="E6" s="253" t="s">
        <v>1497</v>
      </c>
      <c r="F6" s="171"/>
      <c r="G6" s="171" t="s">
        <v>1594</v>
      </c>
      <c r="H6" s="171" t="s">
        <v>1516</v>
      </c>
      <c r="I6" s="171" t="s">
        <v>1517</v>
      </c>
      <c r="J6" s="171" t="s">
        <v>1518</v>
      </c>
      <c r="K6" s="171" t="s">
        <v>1507</v>
      </c>
      <c r="L6" s="171" t="s">
        <v>1519</v>
      </c>
      <c r="M6" s="171"/>
      <c r="N6" s="171"/>
      <c r="O6" s="171" t="s">
        <v>1624</v>
      </c>
      <c r="P6" s="171" t="s">
        <v>71</v>
      </c>
    </row>
    <row r="7" spans="1:16" ht="105">
      <c r="A7" s="290" t="s">
        <v>97</v>
      </c>
      <c r="B7" s="283" t="s">
        <v>256</v>
      </c>
      <c r="C7" s="253" t="s">
        <v>98</v>
      </c>
      <c r="D7" s="253" t="s">
        <v>1493</v>
      </c>
      <c r="E7" s="253" t="s">
        <v>1496</v>
      </c>
      <c r="F7" s="171"/>
      <c r="G7" s="171" t="s">
        <v>1593</v>
      </c>
      <c r="H7" s="171" t="s">
        <v>1514</v>
      </c>
      <c r="I7" s="171" t="s">
        <v>1515</v>
      </c>
      <c r="J7" s="171" t="s">
        <v>1506</v>
      </c>
      <c r="K7" s="171" t="s">
        <v>1507</v>
      </c>
      <c r="L7" s="171" t="s">
        <v>1508</v>
      </c>
      <c r="M7" s="171" t="s">
        <v>1509</v>
      </c>
      <c r="N7" s="171" t="s">
        <v>1510</v>
      </c>
      <c r="O7" s="171" t="s">
        <v>1623</v>
      </c>
      <c r="P7" s="171" t="s">
        <v>71</v>
      </c>
    </row>
    <row r="8" spans="1:16" ht="105">
      <c r="A8" s="290" t="s">
        <v>91</v>
      </c>
      <c r="B8" s="283" t="s">
        <v>238</v>
      </c>
      <c r="C8" s="253" t="s">
        <v>93</v>
      </c>
      <c r="D8" s="253" t="s">
        <v>1493</v>
      </c>
      <c r="E8" s="253" t="s">
        <v>1494</v>
      </c>
      <c r="F8" s="171"/>
      <c r="G8" s="171" t="s">
        <v>1592</v>
      </c>
      <c r="H8" s="171" t="s">
        <v>1504</v>
      </c>
      <c r="I8" s="171" t="s">
        <v>1505</v>
      </c>
      <c r="J8" s="171" t="s">
        <v>1506</v>
      </c>
      <c r="K8" s="171" t="s">
        <v>1507</v>
      </c>
      <c r="L8" s="171" t="s">
        <v>1508</v>
      </c>
      <c r="M8" s="171" t="s">
        <v>1509</v>
      </c>
      <c r="N8" s="171" t="s">
        <v>1510</v>
      </c>
      <c r="O8" s="171" t="s">
        <v>1622</v>
      </c>
      <c r="P8" s="171" t="s">
        <v>71</v>
      </c>
    </row>
    <row r="9" spans="1:16" ht="90">
      <c r="A9" s="290" t="s">
        <v>101</v>
      </c>
      <c r="B9" s="283" t="s">
        <v>264</v>
      </c>
      <c r="C9" s="253" t="s">
        <v>102</v>
      </c>
      <c r="D9" s="253" t="s">
        <v>1493</v>
      </c>
      <c r="E9" s="253" t="s">
        <v>1498</v>
      </c>
      <c r="F9" s="171"/>
      <c r="G9" s="171" t="s">
        <v>1595</v>
      </c>
      <c r="H9" s="171" t="s">
        <v>1520</v>
      </c>
      <c r="I9" s="171" t="s">
        <v>1521</v>
      </c>
      <c r="J9" s="171" t="s">
        <v>1518</v>
      </c>
      <c r="K9" s="171" t="s">
        <v>1507</v>
      </c>
      <c r="L9" s="171" t="s">
        <v>1519</v>
      </c>
      <c r="M9" s="171"/>
      <c r="N9" s="171"/>
      <c r="O9" s="171" t="s">
        <v>1625</v>
      </c>
      <c r="P9" s="171" t="s">
        <v>71</v>
      </c>
    </row>
    <row r="10" spans="1:16" ht="60">
      <c r="A10" s="290" t="s">
        <v>109</v>
      </c>
      <c r="B10" s="283" t="s">
        <v>613</v>
      </c>
      <c r="C10" s="253" t="s">
        <v>1482</v>
      </c>
      <c r="D10" s="253" t="s">
        <v>1493</v>
      </c>
      <c r="E10" s="253" t="s">
        <v>1499</v>
      </c>
      <c r="F10" s="171"/>
      <c r="G10" s="171" t="s">
        <v>1596</v>
      </c>
      <c r="H10" s="171" t="s">
        <v>1528</v>
      </c>
      <c r="I10" s="171" t="s">
        <v>1529</v>
      </c>
      <c r="J10" s="171" t="s">
        <v>1582</v>
      </c>
      <c r="K10" s="171"/>
      <c r="L10" s="171"/>
      <c r="M10" s="171"/>
      <c r="N10" s="171"/>
      <c r="O10" s="171" t="s">
        <v>1626</v>
      </c>
      <c r="P10" s="171" t="s">
        <v>71</v>
      </c>
    </row>
    <row r="11" spans="1:16" ht="105">
      <c r="A11" s="290" t="s">
        <v>81</v>
      </c>
      <c r="B11" s="283" t="s">
        <v>213</v>
      </c>
      <c r="C11" s="253" t="s">
        <v>1481</v>
      </c>
      <c r="D11" s="253" t="s">
        <v>204</v>
      </c>
      <c r="E11" s="253" t="s">
        <v>1492</v>
      </c>
      <c r="F11" s="253"/>
      <c r="G11" s="253" t="s">
        <v>1601</v>
      </c>
      <c r="H11" s="171" t="s">
        <v>1501</v>
      </c>
      <c r="I11" s="171" t="s">
        <v>1534</v>
      </c>
      <c r="J11" s="171" t="s">
        <v>1577</v>
      </c>
      <c r="K11" s="171" t="s">
        <v>1502</v>
      </c>
      <c r="L11" s="171" t="s">
        <v>1503</v>
      </c>
      <c r="M11" s="171" t="s">
        <v>1578</v>
      </c>
      <c r="N11" s="171"/>
      <c r="O11" s="171" t="s">
        <v>1621</v>
      </c>
      <c r="P11" s="171" t="s">
        <v>71</v>
      </c>
    </row>
    <row r="12" spans="1:16" s="252" customFormat="1" ht="75">
      <c r="A12" s="290" t="s">
        <v>103</v>
      </c>
      <c r="B12" s="283" t="s">
        <v>266</v>
      </c>
      <c r="C12" s="253" t="s">
        <v>104</v>
      </c>
      <c r="D12" s="253" t="s">
        <v>204</v>
      </c>
      <c r="E12" s="253" t="s">
        <v>1492</v>
      </c>
      <c r="F12" s="253"/>
      <c r="G12" s="253" t="s">
        <v>1611</v>
      </c>
      <c r="H12" s="171" t="s">
        <v>1522</v>
      </c>
      <c r="I12" s="171" t="s">
        <v>1523</v>
      </c>
      <c r="J12" s="171" t="s">
        <v>1524</v>
      </c>
      <c r="K12" s="171" t="s">
        <v>1525</v>
      </c>
      <c r="L12" s="171"/>
      <c r="M12" s="171"/>
      <c r="N12" s="171"/>
      <c r="O12" s="171" t="s">
        <v>1576</v>
      </c>
      <c r="P12" s="171" t="s">
        <v>71</v>
      </c>
    </row>
    <row r="13" spans="1:16" ht="75">
      <c r="A13" s="290" t="s">
        <v>105</v>
      </c>
      <c r="B13" s="283" t="s">
        <v>269</v>
      </c>
      <c r="C13" s="253" t="s">
        <v>106</v>
      </c>
      <c r="D13" s="253" t="s">
        <v>204</v>
      </c>
      <c r="E13" s="253" t="s">
        <v>1492</v>
      </c>
      <c r="F13" s="253"/>
      <c r="G13" s="253" t="s">
        <v>1612</v>
      </c>
      <c r="H13" s="171" t="s">
        <v>1522</v>
      </c>
      <c r="I13" s="171" t="s">
        <v>1523</v>
      </c>
      <c r="J13" s="171" t="s">
        <v>1581</v>
      </c>
      <c r="K13" s="171" t="s">
        <v>1526</v>
      </c>
      <c r="L13" s="171"/>
      <c r="M13" s="171"/>
      <c r="N13" s="171"/>
      <c r="O13" s="171" t="s">
        <v>1576</v>
      </c>
      <c r="P13" s="171" t="s">
        <v>71</v>
      </c>
    </row>
    <row r="14" spans="1:16" ht="90">
      <c r="A14" s="290" t="s">
        <v>129</v>
      </c>
      <c r="B14" s="283" t="s">
        <v>339</v>
      </c>
      <c r="C14" s="253" t="s">
        <v>1483</v>
      </c>
      <c r="D14" s="253" t="s">
        <v>204</v>
      </c>
      <c r="E14" s="253" t="s">
        <v>1492</v>
      </c>
      <c r="F14" s="253"/>
      <c r="G14" s="253" t="s">
        <v>1602</v>
      </c>
      <c r="H14" s="171" t="s">
        <v>1533</v>
      </c>
      <c r="I14" s="171" t="s">
        <v>1534</v>
      </c>
      <c r="J14" s="171" t="s">
        <v>1535</v>
      </c>
      <c r="K14" s="171" t="s">
        <v>1536</v>
      </c>
      <c r="L14" s="171" t="s">
        <v>1537</v>
      </c>
      <c r="M14" s="171"/>
      <c r="N14" s="171"/>
      <c r="O14" s="171" t="s">
        <v>1575</v>
      </c>
      <c r="P14" s="289" t="s">
        <v>71</v>
      </c>
    </row>
    <row r="15" spans="1:16" ht="60">
      <c r="A15" s="290" t="s">
        <v>130</v>
      </c>
      <c r="B15" s="283" t="s">
        <v>341</v>
      </c>
      <c r="C15" s="253" t="s">
        <v>1484</v>
      </c>
      <c r="D15" s="253" t="s">
        <v>204</v>
      </c>
      <c r="E15" s="253" t="s">
        <v>1492</v>
      </c>
      <c r="F15" s="253"/>
      <c r="G15" s="253" t="s">
        <v>1619</v>
      </c>
      <c r="H15" s="171" t="s">
        <v>1584</v>
      </c>
      <c r="I15" s="171" t="s">
        <v>1538</v>
      </c>
      <c r="J15" s="171" t="s">
        <v>1527</v>
      </c>
      <c r="K15" s="171"/>
      <c r="L15" s="171"/>
      <c r="M15" s="171"/>
      <c r="N15" s="171"/>
      <c r="O15" s="171" t="s">
        <v>1575</v>
      </c>
      <c r="P15" s="171" t="s">
        <v>71</v>
      </c>
    </row>
    <row r="16" spans="1:16" ht="60">
      <c r="A16" s="290" t="s">
        <v>132</v>
      </c>
      <c r="B16" s="283" t="s">
        <v>345</v>
      </c>
      <c r="C16" s="253" t="s">
        <v>1485</v>
      </c>
      <c r="D16" s="253" t="s">
        <v>204</v>
      </c>
      <c r="E16" s="253" t="s">
        <v>1492</v>
      </c>
      <c r="F16" s="253"/>
      <c r="G16" s="253" t="s">
        <v>1617</v>
      </c>
      <c r="H16" s="171" t="s">
        <v>1539</v>
      </c>
      <c r="I16" s="171" t="s">
        <v>1540</v>
      </c>
      <c r="J16" s="171" t="s">
        <v>1541</v>
      </c>
      <c r="K16" s="171"/>
      <c r="L16" s="171"/>
      <c r="M16" s="171"/>
      <c r="N16" s="171"/>
      <c r="O16" s="171" t="s">
        <v>1575</v>
      </c>
      <c r="P16" s="171" t="s">
        <v>71</v>
      </c>
    </row>
    <row r="17" spans="1:16" ht="90">
      <c r="A17" s="294" t="s">
        <v>133</v>
      </c>
      <c r="B17" s="283" t="s">
        <v>347</v>
      </c>
      <c r="C17" s="253" t="s">
        <v>1483</v>
      </c>
      <c r="D17" s="253" t="s">
        <v>204</v>
      </c>
      <c r="E17" s="253" t="s">
        <v>1492</v>
      </c>
      <c r="F17" s="253"/>
      <c r="G17" s="253" t="s">
        <v>1603</v>
      </c>
      <c r="H17" s="171" t="s">
        <v>1542</v>
      </c>
      <c r="I17" s="171" t="s">
        <v>1534</v>
      </c>
      <c r="J17" s="171" t="s">
        <v>1543</v>
      </c>
      <c r="K17" s="171" t="s">
        <v>1536</v>
      </c>
      <c r="L17" s="171" t="s">
        <v>1537</v>
      </c>
      <c r="M17" s="171"/>
      <c r="N17" s="171"/>
      <c r="O17" s="171" t="s">
        <v>1576</v>
      </c>
      <c r="P17" s="171" t="s">
        <v>71</v>
      </c>
    </row>
    <row r="18" spans="1:16" ht="90">
      <c r="A18" s="294" t="s">
        <v>134</v>
      </c>
      <c r="B18" s="283" t="s">
        <v>349</v>
      </c>
      <c r="C18" s="253" t="s">
        <v>1483</v>
      </c>
      <c r="D18" s="253" t="s">
        <v>204</v>
      </c>
      <c r="E18" s="253" t="s">
        <v>1492</v>
      </c>
      <c r="F18" s="253"/>
      <c r="G18" s="253" t="s">
        <v>1604</v>
      </c>
      <c r="H18" s="171" t="s">
        <v>1544</v>
      </c>
      <c r="I18" s="171" t="s">
        <v>1534</v>
      </c>
      <c r="J18" s="171" t="s">
        <v>1545</v>
      </c>
      <c r="K18" s="171" t="s">
        <v>1536</v>
      </c>
      <c r="L18" s="171" t="s">
        <v>1537</v>
      </c>
      <c r="M18" s="171"/>
      <c r="N18" s="171"/>
      <c r="O18" s="171" t="s">
        <v>1576</v>
      </c>
      <c r="P18" s="171" t="s">
        <v>71</v>
      </c>
    </row>
    <row r="19" spans="1:16" ht="90">
      <c r="A19" s="290" t="s">
        <v>135</v>
      </c>
      <c r="B19" s="283" t="s">
        <v>351</v>
      </c>
      <c r="C19" s="253" t="s">
        <v>1483</v>
      </c>
      <c r="D19" s="253" t="s">
        <v>204</v>
      </c>
      <c r="E19" s="253" t="s">
        <v>1492</v>
      </c>
      <c r="F19" s="253"/>
      <c r="G19" s="253" t="s">
        <v>1605</v>
      </c>
      <c r="H19" s="171" t="s">
        <v>1546</v>
      </c>
      <c r="I19" s="171" t="s">
        <v>1534</v>
      </c>
      <c r="J19" s="171" t="s">
        <v>1547</v>
      </c>
      <c r="K19" s="171" t="s">
        <v>1536</v>
      </c>
      <c r="L19" s="171" t="s">
        <v>1537</v>
      </c>
      <c r="M19" s="171"/>
      <c r="N19" s="171"/>
      <c r="O19" s="171" t="s">
        <v>1576</v>
      </c>
      <c r="P19" s="171" t="s">
        <v>71</v>
      </c>
    </row>
    <row r="20" spans="1:16" ht="60">
      <c r="A20" s="290" t="s">
        <v>136</v>
      </c>
      <c r="B20" s="283" t="s">
        <v>355</v>
      </c>
      <c r="C20" s="253" t="s">
        <v>1485</v>
      </c>
      <c r="D20" s="253" t="s">
        <v>204</v>
      </c>
      <c r="E20" s="253" t="s">
        <v>1492</v>
      </c>
      <c r="F20" s="253"/>
      <c r="G20" s="253" t="s">
        <v>1618</v>
      </c>
      <c r="H20" s="171" t="s">
        <v>1539</v>
      </c>
      <c r="I20" s="171" t="s">
        <v>1548</v>
      </c>
      <c r="J20" s="171" t="s">
        <v>1541</v>
      </c>
      <c r="K20" s="171"/>
      <c r="L20" s="171"/>
      <c r="M20" s="171"/>
      <c r="N20" s="171"/>
      <c r="O20" s="171" t="s">
        <v>1575</v>
      </c>
      <c r="P20" s="171" t="s">
        <v>71</v>
      </c>
    </row>
    <row r="21" spans="1:16" ht="75">
      <c r="A21" s="290" t="s">
        <v>137</v>
      </c>
      <c r="B21" s="283" t="s">
        <v>357</v>
      </c>
      <c r="C21" s="253" t="s">
        <v>1486</v>
      </c>
      <c r="D21" s="253" t="s">
        <v>204</v>
      </c>
      <c r="E21" s="253" t="s">
        <v>1492</v>
      </c>
      <c r="F21" s="253"/>
      <c r="G21" s="253" t="s">
        <v>1620</v>
      </c>
      <c r="H21" s="171" t="s">
        <v>1549</v>
      </c>
      <c r="I21" s="171" t="s">
        <v>1532</v>
      </c>
      <c r="J21" s="171" t="s">
        <v>1550</v>
      </c>
      <c r="K21" s="171"/>
      <c r="L21" s="171"/>
      <c r="M21" s="171"/>
      <c r="N21" s="171"/>
      <c r="O21" s="171" t="s">
        <v>1575</v>
      </c>
      <c r="P21" s="171" t="s">
        <v>71</v>
      </c>
    </row>
    <row r="22" spans="1:16" ht="90">
      <c r="A22" s="290" t="s">
        <v>156</v>
      </c>
      <c r="B22" s="283" t="s">
        <v>407</v>
      </c>
      <c r="C22" s="253" t="s">
        <v>1483</v>
      </c>
      <c r="D22" s="253" t="s">
        <v>204</v>
      </c>
      <c r="E22" s="253" t="s">
        <v>1492</v>
      </c>
      <c r="F22" s="253"/>
      <c r="G22" s="253" t="s">
        <v>1606</v>
      </c>
      <c r="H22" s="171" t="s">
        <v>1551</v>
      </c>
      <c r="I22" s="171" t="s">
        <v>1534</v>
      </c>
      <c r="J22" s="171" t="s">
        <v>1552</v>
      </c>
      <c r="K22" s="171" t="s">
        <v>1553</v>
      </c>
      <c r="L22" s="171" t="s">
        <v>1537</v>
      </c>
      <c r="M22" s="171"/>
      <c r="N22" s="171"/>
      <c r="O22" s="171" t="s">
        <v>1575</v>
      </c>
      <c r="P22" s="171" t="s">
        <v>71</v>
      </c>
    </row>
    <row r="23" spans="1:16" ht="90">
      <c r="A23" s="290" t="s">
        <v>157</v>
      </c>
      <c r="B23" s="283" t="s">
        <v>409</v>
      </c>
      <c r="C23" s="253" t="s">
        <v>1483</v>
      </c>
      <c r="D23" s="253" t="s">
        <v>204</v>
      </c>
      <c r="E23" s="253" t="s">
        <v>1492</v>
      </c>
      <c r="F23" s="253"/>
      <c r="G23" s="253" t="s">
        <v>1607</v>
      </c>
      <c r="H23" s="171" t="s">
        <v>1554</v>
      </c>
      <c r="I23" s="171" t="s">
        <v>1534</v>
      </c>
      <c r="J23" s="171" t="s">
        <v>1555</v>
      </c>
      <c r="K23" s="171" t="s">
        <v>1553</v>
      </c>
      <c r="L23" s="171" t="s">
        <v>1537</v>
      </c>
      <c r="M23" s="171"/>
      <c r="N23" s="171"/>
      <c r="O23" s="171" t="s">
        <v>1575</v>
      </c>
      <c r="P23" s="171" t="s">
        <v>71</v>
      </c>
    </row>
    <row r="24" spans="1:16" ht="75">
      <c r="A24" s="290" t="s">
        <v>158</v>
      </c>
      <c r="B24" s="283" t="s">
        <v>411</v>
      </c>
      <c r="C24" s="253" t="s">
        <v>1483</v>
      </c>
      <c r="D24" s="253" t="s">
        <v>204</v>
      </c>
      <c r="E24" s="253" t="s">
        <v>1492</v>
      </c>
      <c r="F24" s="253"/>
      <c r="G24" s="253" t="s">
        <v>1597</v>
      </c>
      <c r="H24" s="171" t="s">
        <v>1556</v>
      </c>
      <c r="I24" s="171" t="s">
        <v>1557</v>
      </c>
      <c r="J24" s="171" t="s">
        <v>1558</v>
      </c>
      <c r="K24" s="171" t="s">
        <v>1553</v>
      </c>
      <c r="L24" s="171" t="s">
        <v>1537</v>
      </c>
      <c r="M24" s="171"/>
      <c r="N24" s="171"/>
      <c r="O24" s="171" t="s">
        <v>1575</v>
      </c>
      <c r="P24" s="171" t="s">
        <v>71</v>
      </c>
    </row>
    <row r="25" spans="1:16" ht="75">
      <c r="A25" s="290" t="s">
        <v>159</v>
      </c>
      <c r="B25" s="283" t="s">
        <v>413</v>
      </c>
      <c r="C25" s="253" t="s">
        <v>1483</v>
      </c>
      <c r="D25" s="253" t="s">
        <v>204</v>
      </c>
      <c r="E25" s="253" t="s">
        <v>1492</v>
      </c>
      <c r="F25" s="253"/>
      <c r="G25" s="253" t="s">
        <v>1615</v>
      </c>
      <c r="H25" s="171" t="s">
        <v>1556</v>
      </c>
      <c r="I25" s="171" t="s">
        <v>1559</v>
      </c>
      <c r="J25" s="171" t="s">
        <v>1560</v>
      </c>
      <c r="K25" s="171" t="s">
        <v>1553</v>
      </c>
      <c r="L25" s="171" t="s">
        <v>1537</v>
      </c>
      <c r="M25" s="171"/>
      <c r="N25" s="171"/>
      <c r="O25" s="171" t="s">
        <v>1575</v>
      </c>
      <c r="P25" s="171" t="s">
        <v>71</v>
      </c>
    </row>
    <row r="26" spans="1:16" ht="90">
      <c r="A26" s="290" t="s">
        <v>160</v>
      </c>
      <c r="B26" s="283" t="s">
        <v>415</v>
      </c>
      <c r="C26" s="253" t="s">
        <v>1487</v>
      </c>
      <c r="D26" s="253" t="s">
        <v>204</v>
      </c>
      <c r="E26" s="253" t="s">
        <v>1492</v>
      </c>
      <c r="F26" s="253"/>
      <c r="G26" s="253" t="s">
        <v>1616</v>
      </c>
      <c r="H26" s="171" t="s">
        <v>1561</v>
      </c>
      <c r="I26" s="171" t="s">
        <v>1539</v>
      </c>
      <c r="J26" s="171" t="s">
        <v>1540</v>
      </c>
      <c r="K26" s="171" t="s">
        <v>1522</v>
      </c>
      <c r="L26" s="171" t="s">
        <v>1562</v>
      </c>
      <c r="M26" s="171"/>
      <c r="N26" s="171"/>
      <c r="O26" s="171" t="s">
        <v>1575</v>
      </c>
      <c r="P26" s="171" t="s">
        <v>71</v>
      </c>
    </row>
    <row r="27" spans="1:16" ht="75">
      <c r="A27" s="290" t="s">
        <v>162</v>
      </c>
      <c r="B27" s="283" t="s">
        <v>436</v>
      </c>
      <c r="C27" s="253" t="s">
        <v>1488</v>
      </c>
      <c r="D27" s="253" t="s">
        <v>204</v>
      </c>
      <c r="E27" s="253" t="s">
        <v>1492</v>
      </c>
      <c r="F27" s="253"/>
      <c r="G27" s="253" t="s">
        <v>1614</v>
      </c>
      <c r="H27" s="171" t="s">
        <v>1532</v>
      </c>
      <c r="I27" s="171" t="s">
        <v>1562</v>
      </c>
      <c r="J27" s="171" t="s">
        <v>1563</v>
      </c>
      <c r="K27" s="171"/>
      <c r="L27" s="171"/>
      <c r="M27" s="171"/>
      <c r="N27" s="171"/>
      <c r="O27" s="171" t="s">
        <v>1575</v>
      </c>
      <c r="P27" s="171" t="s">
        <v>71</v>
      </c>
    </row>
    <row r="28" spans="1:16" ht="90">
      <c r="A28" s="290" t="s">
        <v>163</v>
      </c>
      <c r="B28" s="283" t="s">
        <v>438</v>
      </c>
      <c r="C28" s="253" t="s">
        <v>1489</v>
      </c>
      <c r="D28" s="253" t="s">
        <v>204</v>
      </c>
      <c r="E28" s="253" t="s">
        <v>1492</v>
      </c>
      <c r="F28" s="253"/>
      <c r="G28" s="253" t="s">
        <v>1613</v>
      </c>
      <c r="H28" s="171" t="s">
        <v>1532</v>
      </c>
      <c r="I28" s="171" t="s">
        <v>1562</v>
      </c>
      <c r="J28" s="171" t="s">
        <v>1586</v>
      </c>
      <c r="K28" s="171" t="s">
        <v>1585</v>
      </c>
      <c r="L28" s="171"/>
      <c r="M28" s="171"/>
      <c r="N28" s="171"/>
      <c r="O28" s="171" t="s">
        <v>1575</v>
      </c>
      <c r="P28" s="171" t="s">
        <v>71</v>
      </c>
    </row>
    <row r="29" spans="1:16" ht="90">
      <c r="A29" s="290" t="s">
        <v>178</v>
      </c>
      <c r="B29" s="283" t="s">
        <v>496</v>
      </c>
      <c r="C29" s="253" t="s">
        <v>1483</v>
      </c>
      <c r="D29" s="253" t="s">
        <v>204</v>
      </c>
      <c r="E29" s="253" t="s">
        <v>1492</v>
      </c>
      <c r="F29" s="253"/>
      <c r="G29" s="253" t="s">
        <v>1608</v>
      </c>
      <c r="H29" s="171" t="s">
        <v>1564</v>
      </c>
      <c r="I29" s="171" t="s">
        <v>1534</v>
      </c>
      <c r="J29" s="171" t="s">
        <v>1565</v>
      </c>
      <c r="K29" s="171" t="s">
        <v>1536</v>
      </c>
      <c r="L29" s="171" t="s">
        <v>1537</v>
      </c>
      <c r="M29" s="171"/>
      <c r="N29" s="171"/>
      <c r="O29" s="171" t="s">
        <v>1576</v>
      </c>
      <c r="P29" s="171" t="s">
        <v>71</v>
      </c>
    </row>
    <row r="30" spans="1:16" ht="90">
      <c r="A30" s="290" t="s">
        <v>182</v>
      </c>
      <c r="B30" s="283" t="s">
        <v>503</v>
      </c>
      <c r="C30" s="253" t="s">
        <v>1481</v>
      </c>
      <c r="D30" s="253" t="s">
        <v>204</v>
      </c>
      <c r="E30" s="253" t="s">
        <v>1492</v>
      </c>
      <c r="F30" s="253"/>
      <c r="G30" s="253" t="s">
        <v>1609</v>
      </c>
      <c r="H30" s="171" t="s">
        <v>1566</v>
      </c>
      <c r="I30" s="171" t="s">
        <v>1559</v>
      </c>
      <c r="J30" s="171" t="s">
        <v>1567</v>
      </c>
      <c r="K30" s="171" t="s">
        <v>1553</v>
      </c>
      <c r="L30" s="171" t="s">
        <v>1537</v>
      </c>
      <c r="M30" s="171"/>
      <c r="N30" s="171"/>
      <c r="O30" s="171" t="s">
        <v>1576</v>
      </c>
      <c r="P30" s="171" t="s">
        <v>71</v>
      </c>
    </row>
    <row r="31" spans="1:16" ht="90">
      <c r="A31" s="294" t="s">
        <v>183</v>
      </c>
      <c r="B31" s="283" t="s">
        <v>505</v>
      </c>
      <c r="C31" s="253" t="s">
        <v>1481</v>
      </c>
      <c r="D31" s="253" t="s">
        <v>204</v>
      </c>
      <c r="E31" s="253" t="s">
        <v>1492</v>
      </c>
      <c r="F31" s="253"/>
      <c r="G31" s="253" t="s">
        <v>1610</v>
      </c>
      <c r="H31" s="171" t="s">
        <v>1566</v>
      </c>
      <c r="I31" s="171" t="s">
        <v>1557</v>
      </c>
      <c r="J31" s="171" t="s">
        <v>1568</v>
      </c>
      <c r="K31" s="171" t="s">
        <v>1553</v>
      </c>
      <c r="L31" s="171" t="s">
        <v>1537</v>
      </c>
      <c r="M31" s="171"/>
      <c r="N31" s="171"/>
      <c r="O31" s="171" t="s">
        <v>1576</v>
      </c>
      <c r="P31" s="171" t="s">
        <v>71</v>
      </c>
    </row>
    <row r="32" spans="1:16" ht="60">
      <c r="A32" s="290" t="s">
        <v>188</v>
      </c>
      <c r="B32" s="283" t="s">
        <v>512</v>
      </c>
      <c r="C32" s="253" t="s">
        <v>1490</v>
      </c>
      <c r="D32" s="253" t="s">
        <v>204</v>
      </c>
      <c r="E32" s="253" t="s">
        <v>1492</v>
      </c>
      <c r="F32" s="253"/>
      <c r="G32" s="171" t="s">
        <v>1600</v>
      </c>
      <c r="H32" s="171" t="s">
        <v>1564</v>
      </c>
      <c r="I32" s="171" t="s">
        <v>1569</v>
      </c>
      <c r="J32" s="171" t="s">
        <v>1570</v>
      </c>
      <c r="K32" s="171" t="s">
        <v>1571</v>
      </c>
      <c r="L32" s="171" t="s">
        <v>1537</v>
      </c>
      <c r="M32" s="171"/>
      <c r="N32" s="171"/>
      <c r="O32" s="171" t="s">
        <v>1575</v>
      </c>
      <c r="P32" s="171" t="s">
        <v>71</v>
      </c>
    </row>
    <row r="33" spans="1:16" s="291" customFormat="1">
      <c r="A33" s="295"/>
      <c r="B33" s="292"/>
      <c r="C33" s="292"/>
      <c r="D33" s="292"/>
      <c r="E33" s="292"/>
      <c r="F33" s="292"/>
      <c r="G33" s="292"/>
      <c r="H33" s="292"/>
      <c r="I33" s="292"/>
      <c r="J33" s="292"/>
      <c r="K33" s="292"/>
      <c r="L33" s="292"/>
      <c r="M33" s="292"/>
      <c r="N33" s="292"/>
      <c r="O33" s="292"/>
      <c r="P33" s="296"/>
    </row>
    <row r="34" spans="1:16" ht="75">
      <c r="A34" s="290" t="s">
        <v>69</v>
      </c>
      <c r="B34" s="283" t="s">
        <v>206</v>
      </c>
      <c r="C34" s="253" t="s">
        <v>1633</v>
      </c>
      <c r="D34" s="253" t="s">
        <v>1634</v>
      </c>
      <c r="E34" s="253" t="s">
        <v>1635</v>
      </c>
      <c r="F34" s="171"/>
      <c r="G34" s="171"/>
      <c r="H34" s="171" t="s">
        <v>1636</v>
      </c>
      <c r="I34" s="171" t="s">
        <v>1637</v>
      </c>
      <c r="J34" s="171" t="s">
        <v>1638</v>
      </c>
      <c r="K34" s="171" t="s">
        <v>1639</v>
      </c>
      <c r="L34" s="171" t="s">
        <v>1640</v>
      </c>
      <c r="M34" s="171"/>
      <c r="N34" s="171"/>
      <c r="O34" s="171" t="s">
        <v>1641</v>
      </c>
      <c r="P34" s="171" t="s">
        <v>71</v>
      </c>
    </row>
    <row r="35" spans="1:16" ht="60">
      <c r="A35" s="290" t="s">
        <v>74</v>
      </c>
      <c r="B35" s="283" t="s">
        <v>208</v>
      </c>
      <c r="C35" s="253" t="s">
        <v>1642</v>
      </c>
      <c r="D35" s="253" t="s">
        <v>204</v>
      </c>
      <c r="E35" s="253" t="s">
        <v>1643</v>
      </c>
      <c r="F35" s="171"/>
      <c r="G35" s="171"/>
      <c r="H35" s="171" t="s">
        <v>1644</v>
      </c>
      <c r="I35" s="171" t="s">
        <v>1645</v>
      </c>
      <c r="J35" s="171" t="s">
        <v>1646</v>
      </c>
      <c r="K35" s="171" t="s">
        <v>1647</v>
      </c>
      <c r="L35" s="171" t="s">
        <v>1648</v>
      </c>
      <c r="M35" s="171" t="s">
        <v>1649</v>
      </c>
      <c r="N35" s="171"/>
      <c r="O35" s="293" t="s">
        <v>1650</v>
      </c>
      <c r="P35" s="171" t="s">
        <v>71</v>
      </c>
    </row>
    <row r="36" spans="1:16" ht="60">
      <c r="A36" s="290" t="s">
        <v>79</v>
      </c>
      <c r="B36" s="283" t="s">
        <v>210</v>
      </c>
      <c r="C36" s="253" t="s">
        <v>1651</v>
      </c>
      <c r="D36" s="253" t="s">
        <v>204</v>
      </c>
      <c r="E36" s="253" t="s">
        <v>1643</v>
      </c>
      <c r="F36" s="171"/>
      <c r="G36" s="171"/>
      <c r="H36" s="171" t="s">
        <v>1652</v>
      </c>
      <c r="I36" s="171" t="s">
        <v>1644</v>
      </c>
      <c r="J36" s="171" t="s">
        <v>1653</v>
      </c>
      <c r="K36" s="171" t="s">
        <v>1649</v>
      </c>
      <c r="L36" s="171"/>
      <c r="M36" s="171"/>
      <c r="N36" s="171"/>
      <c r="O36" s="171" t="s">
        <v>1654</v>
      </c>
      <c r="P36" s="171" t="s">
        <v>71</v>
      </c>
    </row>
    <row r="37" spans="1:16" ht="75">
      <c r="A37" s="290" t="s">
        <v>83</v>
      </c>
      <c r="B37" s="283" t="s">
        <v>216</v>
      </c>
      <c r="C37" s="253" t="s">
        <v>1655</v>
      </c>
      <c r="D37" s="253" t="s">
        <v>217</v>
      </c>
      <c r="E37" s="253" t="s">
        <v>1635</v>
      </c>
      <c r="F37" s="171"/>
      <c r="G37" s="171"/>
      <c r="H37" s="171" t="s">
        <v>1656</v>
      </c>
      <c r="I37" s="171" t="s">
        <v>1657</v>
      </c>
      <c r="J37" s="171" t="s">
        <v>1658</v>
      </c>
      <c r="K37" s="171" t="s">
        <v>1659</v>
      </c>
      <c r="L37" s="171"/>
      <c r="M37" s="171"/>
      <c r="N37" s="171"/>
      <c r="O37" s="171" t="s">
        <v>1660</v>
      </c>
      <c r="P37" s="171" t="s">
        <v>71</v>
      </c>
    </row>
    <row r="38" spans="1:16" ht="60">
      <c r="A38" s="290" t="s">
        <v>86</v>
      </c>
      <c r="B38" s="283" t="s">
        <v>219</v>
      </c>
      <c r="C38" s="253" t="s">
        <v>1661</v>
      </c>
      <c r="D38" s="253" t="s">
        <v>204</v>
      </c>
      <c r="E38" s="253" t="s">
        <v>1662</v>
      </c>
      <c r="F38" s="171"/>
      <c r="G38" s="171"/>
      <c r="H38" s="171" t="s">
        <v>1663</v>
      </c>
      <c r="I38" s="171" t="s">
        <v>1664</v>
      </c>
      <c r="J38" s="171" t="s">
        <v>1665</v>
      </c>
      <c r="K38" s="171" t="s">
        <v>1666</v>
      </c>
      <c r="L38" s="171" t="s">
        <v>1667</v>
      </c>
      <c r="M38" s="171"/>
      <c r="N38" s="171"/>
      <c r="O38" s="171" t="s">
        <v>1668</v>
      </c>
      <c r="P38" s="171" t="s">
        <v>71</v>
      </c>
    </row>
    <row r="39" spans="1:16" ht="60">
      <c r="A39" s="290" t="s">
        <v>89</v>
      </c>
      <c r="B39" s="283" t="s">
        <v>221</v>
      </c>
      <c r="C39" s="253" t="s">
        <v>1669</v>
      </c>
      <c r="D39" s="253" t="s">
        <v>217</v>
      </c>
      <c r="E39" s="253" t="s">
        <v>1635</v>
      </c>
      <c r="F39" s="171"/>
      <c r="G39" s="171"/>
      <c r="H39" s="171" t="s">
        <v>1670</v>
      </c>
      <c r="I39" s="171" t="s">
        <v>1671</v>
      </c>
      <c r="J39" s="171" t="s">
        <v>1672</v>
      </c>
      <c r="K39" s="171" t="s">
        <v>1673</v>
      </c>
      <c r="L39" s="171"/>
      <c r="M39" s="171"/>
      <c r="N39" s="171"/>
      <c r="O39" s="171" t="s">
        <v>1674</v>
      </c>
      <c r="P39" s="171" t="s">
        <v>71</v>
      </c>
    </row>
    <row r="40" spans="1:16" ht="60">
      <c r="A40" s="290" t="s">
        <v>90</v>
      </c>
      <c r="B40" s="283" t="s">
        <v>224</v>
      </c>
      <c r="C40" s="253" t="s">
        <v>1675</v>
      </c>
      <c r="D40" s="253" t="s">
        <v>217</v>
      </c>
      <c r="E40" s="253" t="s">
        <v>1635</v>
      </c>
      <c r="F40" s="171"/>
      <c r="G40" s="171"/>
      <c r="H40" s="171" t="s">
        <v>1676</v>
      </c>
      <c r="I40" s="171" t="s">
        <v>1671</v>
      </c>
      <c r="J40" s="171" t="s">
        <v>1672</v>
      </c>
      <c r="K40" s="171" t="s">
        <v>1673</v>
      </c>
      <c r="L40" s="171"/>
      <c r="M40" s="171"/>
      <c r="N40" s="171"/>
      <c r="O40" s="171" t="s">
        <v>1677</v>
      </c>
      <c r="P40" s="171" t="s">
        <v>71</v>
      </c>
    </row>
    <row r="41" spans="1:16" ht="30">
      <c r="A41" s="290" t="s">
        <v>107</v>
      </c>
      <c r="B41" s="283" t="s">
        <v>271</v>
      </c>
      <c r="C41" s="253" t="s">
        <v>1678</v>
      </c>
      <c r="D41" s="253" t="s">
        <v>204</v>
      </c>
      <c r="E41" s="253" t="s">
        <v>1679</v>
      </c>
      <c r="F41" s="171"/>
      <c r="G41" s="171"/>
      <c r="H41" s="171" t="s">
        <v>1680</v>
      </c>
      <c r="I41" s="171" t="s">
        <v>1681</v>
      </c>
      <c r="J41" s="171" t="s">
        <v>1527</v>
      </c>
      <c r="K41" s="171"/>
      <c r="L41" s="171"/>
      <c r="M41" s="171"/>
      <c r="N41" s="171"/>
      <c r="O41" s="171" t="s">
        <v>1576</v>
      </c>
      <c r="P41" s="171" t="s">
        <v>71</v>
      </c>
    </row>
    <row r="42" spans="1:16" ht="75">
      <c r="A42" s="290" t="s">
        <v>108</v>
      </c>
      <c r="B42" s="283" t="s">
        <v>277</v>
      </c>
      <c r="C42" s="253" t="s">
        <v>1682</v>
      </c>
      <c r="D42" s="253" t="s">
        <v>1493</v>
      </c>
      <c r="E42" s="253" t="s">
        <v>1683</v>
      </c>
      <c r="F42" s="171"/>
      <c r="G42" s="171"/>
      <c r="H42" s="171" t="s">
        <v>1684</v>
      </c>
      <c r="I42" s="171" t="s">
        <v>1685</v>
      </c>
      <c r="J42" s="171" t="s">
        <v>1686</v>
      </c>
      <c r="K42" s="171" t="s">
        <v>1687</v>
      </c>
      <c r="L42" s="171"/>
      <c r="M42" s="171"/>
      <c r="N42" s="171"/>
      <c r="O42" s="171" t="s">
        <v>1688</v>
      </c>
      <c r="P42" s="171" t="s">
        <v>71</v>
      </c>
    </row>
    <row r="43" spans="1:16" ht="45">
      <c r="A43" s="290" t="s">
        <v>110</v>
      </c>
      <c r="B43" s="283" t="s">
        <v>286</v>
      </c>
      <c r="C43" s="253" t="s">
        <v>1689</v>
      </c>
      <c r="D43" s="253" t="s">
        <v>1690</v>
      </c>
      <c r="E43" s="253" t="s">
        <v>1691</v>
      </c>
      <c r="F43" s="171"/>
      <c r="G43" s="171"/>
      <c r="H43" s="171" t="s">
        <v>1689</v>
      </c>
      <c r="I43" s="171" t="s">
        <v>1692</v>
      </c>
      <c r="J43" s="171" t="s">
        <v>1693</v>
      </c>
      <c r="K43" s="171" t="s">
        <v>1694</v>
      </c>
      <c r="L43" s="171"/>
      <c r="M43" s="171"/>
      <c r="N43" s="171"/>
      <c r="O43" s="171" t="s">
        <v>1695</v>
      </c>
      <c r="P43" s="171" t="s">
        <v>71</v>
      </c>
    </row>
    <row r="44" spans="1:16" ht="60">
      <c r="A44" s="290" t="s">
        <v>112</v>
      </c>
      <c r="B44" s="283" t="s">
        <v>288</v>
      </c>
      <c r="C44" s="253" t="s">
        <v>288</v>
      </c>
      <c r="D44" s="253" t="s">
        <v>1690</v>
      </c>
      <c r="E44" s="253" t="s">
        <v>1696</v>
      </c>
      <c r="F44" s="171"/>
      <c r="G44" s="171"/>
      <c r="H44" s="171" t="s">
        <v>1697</v>
      </c>
      <c r="I44" s="171" t="s">
        <v>1698</v>
      </c>
      <c r="J44" s="171" t="s">
        <v>1699</v>
      </c>
      <c r="K44" s="171" t="s">
        <v>1700</v>
      </c>
      <c r="L44" s="171"/>
      <c r="M44" s="171"/>
      <c r="N44" s="171"/>
      <c r="O44" s="171" t="s">
        <v>1701</v>
      </c>
      <c r="P44" s="171" t="s">
        <v>71</v>
      </c>
    </row>
    <row r="45" spans="1:16" ht="60">
      <c r="A45" s="290" t="s">
        <v>114</v>
      </c>
      <c r="B45" s="283" t="s">
        <v>290</v>
      </c>
      <c r="C45" s="253" t="s">
        <v>290</v>
      </c>
      <c r="D45" s="253" t="s">
        <v>1690</v>
      </c>
      <c r="E45" s="253" t="s">
        <v>1696</v>
      </c>
      <c r="F45" s="171"/>
      <c r="G45" s="171"/>
      <c r="H45" s="171" t="s">
        <v>1697</v>
      </c>
      <c r="I45" s="171" t="s">
        <v>1702</v>
      </c>
      <c r="J45" s="171" t="s">
        <v>1699</v>
      </c>
      <c r="K45" s="171" t="s">
        <v>1703</v>
      </c>
      <c r="L45" s="171"/>
      <c r="M45" s="171"/>
      <c r="N45" s="171"/>
      <c r="O45" s="171" t="s">
        <v>1701</v>
      </c>
      <c r="P45" s="171" t="s">
        <v>71</v>
      </c>
    </row>
    <row r="46" spans="1:16" ht="60">
      <c r="A46" s="290" t="s">
        <v>116</v>
      </c>
      <c r="B46" s="283" t="s">
        <v>299</v>
      </c>
      <c r="C46" s="253" t="s">
        <v>1704</v>
      </c>
      <c r="D46" s="253" t="s">
        <v>204</v>
      </c>
      <c r="E46" s="253" t="s">
        <v>1705</v>
      </c>
      <c r="F46" s="171"/>
      <c r="G46" s="171"/>
      <c r="H46" s="171" t="s">
        <v>1706</v>
      </c>
      <c r="I46" s="171" t="s">
        <v>1707</v>
      </c>
      <c r="J46" s="171" t="s">
        <v>1708</v>
      </c>
      <c r="K46" s="171" t="s">
        <v>1709</v>
      </c>
      <c r="L46" s="171"/>
      <c r="M46" s="171"/>
      <c r="N46" s="171"/>
      <c r="O46" s="171" t="s">
        <v>1576</v>
      </c>
      <c r="P46" s="171" t="s">
        <v>71</v>
      </c>
    </row>
    <row r="47" spans="1:16" ht="90">
      <c r="A47" s="290" t="s">
        <v>117</v>
      </c>
      <c r="B47" s="283" t="s">
        <v>301</v>
      </c>
      <c r="C47" s="253" t="s">
        <v>1710</v>
      </c>
      <c r="D47" s="253" t="s">
        <v>217</v>
      </c>
      <c r="E47" s="253" t="s">
        <v>1635</v>
      </c>
      <c r="F47" s="171"/>
      <c r="G47" s="171"/>
      <c r="H47" s="171" t="s">
        <v>1711</v>
      </c>
      <c r="I47" s="171" t="s">
        <v>1712</v>
      </c>
      <c r="J47" s="171" t="s">
        <v>1713</v>
      </c>
      <c r="K47" s="171" t="s">
        <v>1714</v>
      </c>
      <c r="L47" s="171" t="s">
        <v>1715</v>
      </c>
      <c r="M47" s="171"/>
      <c r="N47" s="171"/>
      <c r="O47" s="171" t="s">
        <v>1716</v>
      </c>
      <c r="P47" s="171" t="s">
        <v>71</v>
      </c>
    </row>
    <row r="48" spans="1:16" ht="75">
      <c r="A48" s="290" t="s">
        <v>120</v>
      </c>
      <c r="B48" s="283" t="s">
        <v>305</v>
      </c>
      <c r="C48" s="253" t="s">
        <v>1717</v>
      </c>
      <c r="D48" s="253" t="s">
        <v>204</v>
      </c>
      <c r="E48" s="253" t="s">
        <v>1679</v>
      </c>
      <c r="F48" s="171"/>
      <c r="G48" s="171"/>
      <c r="H48" s="171" t="s">
        <v>1522</v>
      </c>
      <c r="I48" s="171" t="s">
        <v>1718</v>
      </c>
      <c r="J48" s="171" t="s">
        <v>1719</v>
      </c>
      <c r="K48" s="171" t="s">
        <v>1720</v>
      </c>
      <c r="L48" s="171"/>
      <c r="M48" s="171"/>
      <c r="N48" s="171"/>
      <c r="O48" s="171" t="s">
        <v>1576</v>
      </c>
      <c r="P48" s="171" t="s">
        <v>71</v>
      </c>
    </row>
    <row r="49" spans="1:16" ht="60">
      <c r="A49" s="294" t="s">
        <v>121</v>
      </c>
      <c r="B49" s="283" t="s">
        <v>307</v>
      </c>
      <c r="C49" s="253" t="s">
        <v>1721</v>
      </c>
      <c r="D49" s="253" t="s">
        <v>204</v>
      </c>
      <c r="E49" s="253" t="s">
        <v>1679</v>
      </c>
      <c r="F49" s="171"/>
      <c r="G49" s="171"/>
      <c r="H49" s="171" t="s">
        <v>1522</v>
      </c>
      <c r="I49" s="171" t="s">
        <v>1722</v>
      </c>
      <c r="J49" s="171" t="s">
        <v>1719</v>
      </c>
      <c r="K49" s="171" t="s">
        <v>1720</v>
      </c>
      <c r="L49" s="171"/>
      <c r="M49" s="171"/>
      <c r="N49" s="171"/>
      <c r="O49" s="171" t="s">
        <v>1576</v>
      </c>
      <c r="P49" s="171" t="s">
        <v>71</v>
      </c>
    </row>
    <row r="50" spans="1:16" ht="75">
      <c r="A50" s="290" t="s">
        <v>123</v>
      </c>
      <c r="B50" s="283" t="s">
        <v>1723</v>
      </c>
      <c r="C50" s="253" t="s">
        <v>1724</v>
      </c>
      <c r="D50" s="253" t="s">
        <v>204</v>
      </c>
      <c r="E50" s="253" t="s">
        <v>1679</v>
      </c>
      <c r="F50" s="171"/>
      <c r="G50" s="171"/>
      <c r="H50" s="171" t="s">
        <v>1522</v>
      </c>
      <c r="I50" s="171" t="s">
        <v>1722</v>
      </c>
      <c r="J50" s="171" t="s">
        <v>1725</v>
      </c>
      <c r="K50" s="171" t="s">
        <v>1726</v>
      </c>
      <c r="L50" s="171"/>
      <c r="M50" s="171"/>
      <c r="N50" s="171"/>
      <c r="O50" s="171" t="s">
        <v>1575</v>
      </c>
      <c r="P50" s="171" t="s">
        <v>71</v>
      </c>
    </row>
    <row r="51" spans="1:16" ht="60">
      <c r="A51" s="290" t="s">
        <v>124</v>
      </c>
      <c r="B51" s="283" t="s">
        <v>322</v>
      </c>
      <c r="C51" s="253" t="s">
        <v>1727</v>
      </c>
      <c r="D51" s="253" t="s">
        <v>204</v>
      </c>
      <c r="E51" s="253" t="s">
        <v>1643</v>
      </c>
      <c r="F51" s="171"/>
      <c r="G51" s="171"/>
      <c r="H51" s="171" t="s">
        <v>1728</v>
      </c>
      <c r="I51" s="171" t="s">
        <v>1523</v>
      </c>
      <c r="J51" s="171" t="s">
        <v>1729</v>
      </c>
      <c r="K51" s="171" t="s">
        <v>1730</v>
      </c>
      <c r="L51" s="171"/>
      <c r="M51" s="171"/>
      <c r="N51" s="171"/>
      <c r="O51" s="171" t="s">
        <v>1575</v>
      </c>
      <c r="P51" s="171" t="s">
        <v>71</v>
      </c>
    </row>
    <row r="52" spans="1:16" ht="45">
      <c r="A52" s="290" t="s">
        <v>125</v>
      </c>
      <c r="B52" s="283" t="s">
        <v>324</v>
      </c>
      <c r="C52" s="253" t="s">
        <v>1731</v>
      </c>
      <c r="D52" s="253" t="s">
        <v>204</v>
      </c>
      <c r="E52" s="253" t="s">
        <v>1732</v>
      </c>
      <c r="F52" s="171"/>
      <c r="G52" s="171"/>
      <c r="H52" s="171" t="s">
        <v>1733</v>
      </c>
      <c r="I52" s="171" t="s">
        <v>1532</v>
      </c>
      <c r="J52" s="171" t="s">
        <v>1523</v>
      </c>
      <c r="K52" s="171" t="s">
        <v>1734</v>
      </c>
      <c r="L52" s="171"/>
      <c r="M52" s="171"/>
      <c r="N52" s="171"/>
      <c r="O52" s="171" t="s">
        <v>1576</v>
      </c>
      <c r="P52" s="171" t="s">
        <v>71</v>
      </c>
    </row>
    <row r="53" spans="1:16" ht="45">
      <c r="A53" s="290" t="s">
        <v>126</v>
      </c>
      <c r="B53" s="283" t="s">
        <v>326</v>
      </c>
      <c r="C53" s="253" t="s">
        <v>1731</v>
      </c>
      <c r="D53" s="253" t="s">
        <v>204</v>
      </c>
      <c r="E53" s="253" t="s">
        <v>1732</v>
      </c>
      <c r="F53" s="171"/>
      <c r="G53" s="171"/>
      <c r="H53" s="171" t="s">
        <v>1735</v>
      </c>
      <c r="I53" s="171" t="s">
        <v>1532</v>
      </c>
      <c r="J53" s="171" t="s">
        <v>1523</v>
      </c>
      <c r="K53" s="171" t="s">
        <v>1734</v>
      </c>
      <c r="L53" s="171"/>
      <c r="M53" s="171"/>
      <c r="N53" s="171"/>
      <c r="O53" s="171" t="s">
        <v>1576</v>
      </c>
      <c r="P53" s="171" t="s">
        <v>71</v>
      </c>
    </row>
    <row r="54" spans="1:16" ht="45">
      <c r="A54" s="290" t="s">
        <v>127</v>
      </c>
      <c r="B54" s="283" t="s">
        <v>331</v>
      </c>
      <c r="C54" s="253" t="s">
        <v>1736</v>
      </c>
      <c r="D54" s="253" t="s">
        <v>204</v>
      </c>
      <c r="E54" s="253" t="s">
        <v>1732</v>
      </c>
      <c r="F54" s="171"/>
      <c r="G54" s="171"/>
      <c r="H54" s="171" t="s">
        <v>1733</v>
      </c>
      <c r="I54" s="171" t="s">
        <v>1532</v>
      </c>
      <c r="J54" s="171" t="s">
        <v>1523</v>
      </c>
      <c r="K54" s="171" t="s">
        <v>1734</v>
      </c>
      <c r="L54" s="171"/>
      <c r="M54" s="171"/>
      <c r="N54" s="171"/>
      <c r="O54" s="171" t="s">
        <v>1575</v>
      </c>
      <c r="P54" s="171" t="s">
        <v>71</v>
      </c>
    </row>
    <row r="55" spans="1:16" ht="90">
      <c r="A55" s="290" t="s">
        <v>128</v>
      </c>
      <c r="B55" s="283" t="s">
        <v>337</v>
      </c>
      <c r="C55" s="253" t="s">
        <v>1736</v>
      </c>
      <c r="D55" s="253" t="s">
        <v>204</v>
      </c>
      <c r="E55" s="253" t="s">
        <v>1732</v>
      </c>
      <c r="F55" s="171"/>
      <c r="G55" s="171"/>
      <c r="H55" s="171" t="s">
        <v>1737</v>
      </c>
      <c r="I55" s="171" t="s">
        <v>1738</v>
      </c>
      <c r="J55" s="171" t="s">
        <v>1739</v>
      </c>
      <c r="K55" s="171" t="s">
        <v>1740</v>
      </c>
      <c r="L55" s="171" t="s">
        <v>1741</v>
      </c>
      <c r="M55" s="171" t="s">
        <v>1742</v>
      </c>
      <c r="N55" s="171"/>
      <c r="O55" s="171" t="s">
        <v>1576</v>
      </c>
      <c r="P55" s="171" t="s">
        <v>71</v>
      </c>
    </row>
    <row r="56" spans="1:16" ht="90">
      <c r="A56" s="290" t="s">
        <v>131</v>
      </c>
      <c r="B56" s="283" t="s">
        <v>343</v>
      </c>
      <c r="C56" s="253" t="s">
        <v>1736</v>
      </c>
      <c r="D56" s="253" t="s">
        <v>204</v>
      </c>
      <c r="E56" s="253" t="s">
        <v>1732</v>
      </c>
      <c r="F56" s="171"/>
      <c r="G56" s="171"/>
      <c r="H56" s="171" t="s">
        <v>1743</v>
      </c>
      <c r="I56" s="171" t="s">
        <v>1738</v>
      </c>
      <c r="J56" s="171" t="s">
        <v>1739</v>
      </c>
      <c r="K56" s="171" t="s">
        <v>1740</v>
      </c>
      <c r="L56" s="171" t="s">
        <v>1744</v>
      </c>
      <c r="M56" s="171" t="s">
        <v>1745</v>
      </c>
      <c r="N56" s="171"/>
      <c r="O56" s="171" t="s">
        <v>1576</v>
      </c>
      <c r="P56" s="171" t="s">
        <v>71</v>
      </c>
    </row>
    <row r="57" spans="1:16" ht="60">
      <c r="A57" s="290" t="s">
        <v>138</v>
      </c>
      <c r="B57" s="283" t="s">
        <v>360</v>
      </c>
      <c r="C57" s="253" t="s">
        <v>1642</v>
      </c>
      <c r="D57" s="253" t="s">
        <v>204</v>
      </c>
      <c r="E57" s="253" t="s">
        <v>1643</v>
      </c>
      <c r="F57" s="171"/>
      <c r="G57" s="171"/>
      <c r="H57" s="171" t="s">
        <v>1532</v>
      </c>
      <c r="I57" s="171" t="s">
        <v>1645</v>
      </c>
      <c r="J57" s="171" t="s">
        <v>1646</v>
      </c>
      <c r="K57" s="171" t="s">
        <v>1647</v>
      </c>
      <c r="L57" s="171" t="s">
        <v>1746</v>
      </c>
      <c r="M57" s="171" t="s">
        <v>1649</v>
      </c>
      <c r="N57" s="171"/>
      <c r="O57" s="171" t="s">
        <v>1575</v>
      </c>
      <c r="P57" s="171" t="s">
        <v>71</v>
      </c>
    </row>
    <row r="58" spans="1:16" ht="75">
      <c r="A58" s="290" t="s">
        <v>139</v>
      </c>
      <c r="B58" s="283" t="s">
        <v>362</v>
      </c>
      <c r="C58" s="253" t="s">
        <v>1747</v>
      </c>
      <c r="D58" s="253" t="s">
        <v>204</v>
      </c>
      <c r="E58" s="253" t="s">
        <v>1748</v>
      </c>
      <c r="F58" s="171"/>
      <c r="G58" s="171"/>
      <c r="H58" s="171" t="s">
        <v>1523</v>
      </c>
      <c r="I58" s="171" t="s">
        <v>1532</v>
      </c>
      <c r="J58" s="171" t="s">
        <v>1749</v>
      </c>
      <c r="K58" s="171" t="s">
        <v>1750</v>
      </c>
      <c r="L58" s="171"/>
      <c r="M58" s="171"/>
      <c r="N58" s="171"/>
      <c r="O58" s="171" t="s">
        <v>1576</v>
      </c>
      <c r="P58" s="171" t="s">
        <v>71</v>
      </c>
    </row>
    <row r="59" spans="1:16" ht="90">
      <c r="A59" s="290" t="s">
        <v>140</v>
      </c>
      <c r="B59" s="283" t="s">
        <v>369</v>
      </c>
      <c r="C59" s="253" t="s">
        <v>1751</v>
      </c>
      <c r="D59" s="253" t="s">
        <v>204</v>
      </c>
      <c r="E59" s="253" t="s">
        <v>1752</v>
      </c>
      <c r="F59" s="171"/>
      <c r="G59" s="171"/>
      <c r="H59" s="171" t="s">
        <v>1753</v>
      </c>
      <c r="I59" s="171" t="s">
        <v>1754</v>
      </c>
      <c r="J59" s="171" t="s">
        <v>1755</v>
      </c>
      <c r="K59" s="171" t="s">
        <v>1673</v>
      </c>
      <c r="L59" s="171" t="s">
        <v>1756</v>
      </c>
      <c r="M59" s="171"/>
      <c r="N59" s="171"/>
      <c r="O59" s="171" t="s">
        <v>1576</v>
      </c>
      <c r="P59" s="171" t="s">
        <v>71</v>
      </c>
    </row>
    <row r="60" spans="1:16" ht="60">
      <c r="A60" s="290" t="s">
        <v>141</v>
      </c>
      <c r="B60" s="283" t="s">
        <v>371</v>
      </c>
      <c r="C60" s="253" t="s">
        <v>1757</v>
      </c>
      <c r="D60" s="253" t="s">
        <v>204</v>
      </c>
      <c r="E60" s="253" t="s">
        <v>1732</v>
      </c>
      <c r="F60" s="171"/>
      <c r="G60" s="171"/>
      <c r="H60" s="171" t="s">
        <v>1758</v>
      </c>
      <c r="I60" s="171" t="s">
        <v>1523</v>
      </c>
      <c r="J60" s="171" t="s">
        <v>1532</v>
      </c>
      <c r="K60" s="171"/>
      <c r="L60" s="171"/>
      <c r="M60" s="171"/>
      <c r="N60" s="171"/>
      <c r="O60" s="171" t="s">
        <v>1575</v>
      </c>
      <c r="P60" s="171" t="s">
        <v>71</v>
      </c>
    </row>
    <row r="61" spans="1:16" ht="75">
      <c r="A61" s="290" t="s">
        <v>142</v>
      </c>
      <c r="B61" s="283" t="s">
        <v>373</v>
      </c>
      <c r="C61" s="253" t="s">
        <v>1759</v>
      </c>
      <c r="D61" s="253" t="s">
        <v>204</v>
      </c>
      <c r="E61" s="253" t="s">
        <v>1643</v>
      </c>
      <c r="F61" s="171"/>
      <c r="G61" s="171"/>
      <c r="H61" s="171" t="s">
        <v>1760</v>
      </c>
      <c r="I61" s="171" t="s">
        <v>1761</v>
      </c>
      <c r="J61" s="171" t="s">
        <v>1762</v>
      </c>
      <c r="K61" s="171" t="s">
        <v>1763</v>
      </c>
      <c r="L61" s="171"/>
      <c r="M61" s="171"/>
      <c r="N61" s="171"/>
      <c r="O61" s="171" t="s">
        <v>1575</v>
      </c>
      <c r="P61" s="171" t="s">
        <v>71</v>
      </c>
    </row>
    <row r="62" spans="1:16" ht="75">
      <c r="A62" s="290" t="s">
        <v>143</v>
      </c>
      <c r="B62" s="283" t="s">
        <v>375</v>
      </c>
      <c r="C62" s="253" t="s">
        <v>1764</v>
      </c>
      <c r="D62" s="253" t="s">
        <v>204</v>
      </c>
      <c r="E62" s="253" t="s">
        <v>1643</v>
      </c>
      <c r="F62" s="171"/>
      <c r="G62" s="171"/>
      <c r="H62" s="171" t="s">
        <v>1765</v>
      </c>
      <c r="I62" s="171" t="s">
        <v>1766</v>
      </c>
      <c r="J62" s="171" t="s">
        <v>1767</v>
      </c>
      <c r="K62" s="171" t="s">
        <v>1768</v>
      </c>
      <c r="L62" s="171" t="s">
        <v>1673</v>
      </c>
      <c r="M62" s="171" t="s">
        <v>1649</v>
      </c>
      <c r="N62" s="171"/>
      <c r="O62" s="171" t="s">
        <v>1575</v>
      </c>
      <c r="P62" s="171" t="s">
        <v>71</v>
      </c>
    </row>
    <row r="63" spans="1:16" ht="75">
      <c r="A63" s="290" t="s">
        <v>144</v>
      </c>
      <c r="B63" s="283" t="s">
        <v>378</v>
      </c>
      <c r="C63" s="253" t="s">
        <v>1769</v>
      </c>
      <c r="D63" s="253" t="s">
        <v>204</v>
      </c>
      <c r="E63" s="253" t="s">
        <v>1662</v>
      </c>
      <c r="F63" s="171"/>
      <c r="G63" s="171"/>
      <c r="H63" s="171" t="s">
        <v>1770</v>
      </c>
      <c r="I63" s="171" t="s">
        <v>1766</v>
      </c>
      <c r="J63" s="171" t="s">
        <v>1767</v>
      </c>
      <c r="K63" s="171" t="s">
        <v>1768</v>
      </c>
      <c r="L63" s="171" t="s">
        <v>1673</v>
      </c>
      <c r="M63" s="171"/>
      <c r="N63" s="171"/>
      <c r="O63" s="171" t="s">
        <v>1575</v>
      </c>
      <c r="P63" s="171" t="s">
        <v>71</v>
      </c>
    </row>
    <row r="64" spans="1:16" ht="60">
      <c r="A64" s="290" t="s">
        <v>145</v>
      </c>
      <c r="B64" s="283" t="s">
        <v>383</v>
      </c>
      <c r="C64" s="253" t="s">
        <v>1771</v>
      </c>
      <c r="D64" s="253" t="s">
        <v>204</v>
      </c>
      <c r="E64" s="253" t="s">
        <v>1662</v>
      </c>
      <c r="F64" s="171"/>
      <c r="G64" s="171"/>
      <c r="H64" s="171" t="s">
        <v>1772</v>
      </c>
      <c r="I64" s="171" t="s">
        <v>1532</v>
      </c>
      <c r="J64" s="171" t="s">
        <v>1523</v>
      </c>
      <c r="K64" s="171" t="s">
        <v>1773</v>
      </c>
      <c r="L64" s="171"/>
      <c r="M64" s="171"/>
      <c r="N64" s="171"/>
      <c r="O64" s="171" t="s">
        <v>1575</v>
      </c>
      <c r="P64" s="171" t="s">
        <v>71</v>
      </c>
    </row>
    <row r="65" spans="1:16" ht="60">
      <c r="A65" s="290" t="s">
        <v>146</v>
      </c>
      <c r="B65" s="283" t="s">
        <v>385</v>
      </c>
      <c r="C65" s="253" t="s">
        <v>1771</v>
      </c>
      <c r="D65" s="253" t="s">
        <v>204</v>
      </c>
      <c r="E65" s="253" t="s">
        <v>1662</v>
      </c>
      <c r="F65" s="171"/>
      <c r="G65" s="171"/>
      <c r="H65" s="171" t="s">
        <v>1772</v>
      </c>
      <c r="I65" s="171" t="s">
        <v>1774</v>
      </c>
      <c r="J65" s="171" t="s">
        <v>1523</v>
      </c>
      <c r="K65" s="171" t="s">
        <v>1773</v>
      </c>
      <c r="L65" s="171"/>
      <c r="M65" s="171"/>
      <c r="N65" s="171"/>
      <c r="O65" s="171" t="s">
        <v>1575</v>
      </c>
      <c r="P65" s="171" t="s">
        <v>71</v>
      </c>
    </row>
    <row r="66" spans="1:16" ht="75">
      <c r="A66" s="290" t="s">
        <v>147</v>
      </c>
      <c r="B66" s="283" t="s">
        <v>387</v>
      </c>
      <c r="C66" s="253" t="s">
        <v>1775</v>
      </c>
      <c r="D66" s="253" t="s">
        <v>204</v>
      </c>
      <c r="E66" s="253" t="s">
        <v>1732</v>
      </c>
      <c r="F66" s="171"/>
      <c r="G66" s="171"/>
      <c r="H66" s="171" t="s">
        <v>1776</v>
      </c>
      <c r="I66" s="171" t="s">
        <v>1777</v>
      </c>
      <c r="J66" s="171" t="s">
        <v>1532</v>
      </c>
      <c r="K66" s="171" t="s">
        <v>1778</v>
      </c>
      <c r="L66" s="171" t="s">
        <v>1779</v>
      </c>
      <c r="M66" s="171"/>
      <c r="N66" s="171"/>
      <c r="O66" s="171" t="s">
        <v>1575</v>
      </c>
      <c r="P66" s="171" t="s">
        <v>71</v>
      </c>
    </row>
    <row r="67" spans="1:16" ht="45">
      <c r="A67" s="290" t="s">
        <v>148</v>
      </c>
      <c r="B67" s="283" t="s">
        <v>390</v>
      </c>
      <c r="C67" s="253" t="s">
        <v>1780</v>
      </c>
      <c r="D67" s="253" t="s">
        <v>204</v>
      </c>
      <c r="E67" s="253" t="s">
        <v>1732</v>
      </c>
      <c r="F67" s="171"/>
      <c r="G67" s="171"/>
      <c r="H67" s="171" t="s">
        <v>1781</v>
      </c>
      <c r="I67" s="171" t="s">
        <v>1532</v>
      </c>
      <c r="J67" s="171" t="s">
        <v>1778</v>
      </c>
      <c r="K67" s="171" t="s">
        <v>1777</v>
      </c>
      <c r="L67" s="171" t="s">
        <v>1782</v>
      </c>
      <c r="M67" s="171"/>
      <c r="N67" s="171"/>
      <c r="O67" s="171" t="s">
        <v>1575</v>
      </c>
      <c r="P67" s="171" t="s">
        <v>71</v>
      </c>
    </row>
    <row r="68" spans="1:16" ht="45">
      <c r="A68" s="290" t="s">
        <v>149</v>
      </c>
      <c r="B68" s="283" t="s">
        <v>392</v>
      </c>
      <c r="C68" s="253" t="s">
        <v>1783</v>
      </c>
      <c r="D68" s="253" t="s">
        <v>204</v>
      </c>
      <c r="E68" s="253" t="s">
        <v>1732</v>
      </c>
      <c r="F68" s="171"/>
      <c r="G68" s="171"/>
      <c r="H68" s="171" t="s">
        <v>1784</v>
      </c>
      <c r="I68" s="171" t="s">
        <v>1532</v>
      </c>
      <c r="J68" s="171" t="s">
        <v>1778</v>
      </c>
      <c r="K68" s="171" t="s">
        <v>1777</v>
      </c>
      <c r="L68" s="171" t="s">
        <v>1782</v>
      </c>
      <c r="M68" s="171"/>
      <c r="N68" s="171"/>
      <c r="O68" s="171" t="s">
        <v>1575</v>
      </c>
      <c r="P68" s="171" t="s">
        <v>71</v>
      </c>
    </row>
    <row r="69" spans="1:16" ht="60">
      <c r="A69" s="290" t="s">
        <v>150</v>
      </c>
      <c r="B69" s="283" t="s">
        <v>394</v>
      </c>
      <c r="C69" s="253" t="s">
        <v>1785</v>
      </c>
      <c r="D69" s="253" t="s">
        <v>204</v>
      </c>
      <c r="E69" s="253" t="s">
        <v>1786</v>
      </c>
      <c r="F69" s="171"/>
      <c r="G69" s="171"/>
      <c r="H69" s="171" t="s">
        <v>1787</v>
      </c>
      <c r="I69" s="171" t="s">
        <v>1788</v>
      </c>
      <c r="J69" s="171" t="s">
        <v>1789</v>
      </c>
      <c r="K69" s="171" t="s">
        <v>1790</v>
      </c>
      <c r="L69" s="171" t="s">
        <v>1791</v>
      </c>
      <c r="M69" s="171"/>
      <c r="N69" s="171"/>
      <c r="O69" s="171" t="s">
        <v>1576</v>
      </c>
      <c r="P69" s="171" t="s">
        <v>71</v>
      </c>
    </row>
    <row r="70" spans="1:16" ht="60">
      <c r="A70" s="290" t="s">
        <v>151</v>
      </c>
      <c r="B70" s="283" t="s">
        <v>396</v>
      </c>
      <c r="C70" s="253" t="s">
        <v>1792</v>
      </c>
      <c r="D70" s="253" t="s">
        <v>217</v>
      </c>
      <c r="E70" s="253" t="s">
        <v>1635</v>
      </c>
      <c r="F70" s="171"/>
      <c r="G70" s="171"/>
      <c r="H70" s="171" t="s">
        <v>1793</v>
      </c>
      <c r="I70" s="171" t="s">
        <v>1794</v>
      </c>
      <c r="J70" s="171" t="s">
        <v>1795</v>
      </c>
      <c r="K70" s="171" t="s">
        <v>1796</v>
      </c>
      <c r="L70" s="171"/>
      <c r="M70" s="171"/>
      <c r="N70" s="171"/>
      <c r="O70" s="171" t="s">
        <v>1797</v>
      </c>
      <c r="P70" s="171" t="s">
        <v>71</v>
      </c>
    </row>
    <row r="71" spans="1:16" ht="60">
      <c r="A71" s="290" t="s">
        <v>152</v>
      </c>
      <c r="B71" s="283" t="s">
        <v>398</v>
      </c>
      <c r="C71" s="253" t="s">
        <v>1798</v>
      </c>
      <c r="D71" s="253" t="s">
        <v>217</v>
      </c>
      <c r="E71" s="253" t="s">
        <v>1635</v>
      </c>
      <c r="F71" s="171"/>
      <c r="G71" s="171"/>
      <c r="H71" s="171" t="s">
        <v>1799</v>
      </c>
      <c r="I71" s="171" t="s">
        <v>1794</v>
      </c>
      <c r="J71" s="171" t="s">
        <v>1795</v>
      </c>
      <c r="K71" s="171" t="s">
        <v>1796</v>
      </c>
      <c r="L71" s="171"/>
      <c r="M71" s="171"/>
      <c r="N71" s="171"/>
      <c r="O71" s="171" t="s">
        <v>1800</v>
      </c>
      <c r="P71" s="171" t="s">
        <v>71</v>
      </c>
    </row>
    <row r="72" spans="1:16" ht="60">
      <c r="A72" s="290" t="s">
        <v>153</v>
      </c>
      <c r="B72" s="283" t="s">
        <v>400</v>
      </c>
      <c r="C72" s="253" t="s">
        <v>1801</v>
      </c>
      <c r="D72" s="253" t="s">
        <v>217</v>
      </c>
      <c r="E72" s="253" t="s">
        <v>1635</v>
      </c>
      <c r="F72" s="171"/>
      <c r="G72" s="171"/>
      <c r="H72" s="171" t="s">
        <v>1802</v>
      </c>
      <c r="I72" s="171" t="s">
        <v>1794</v>
      </c>
      <c r="J72" s="171" t="s">
        <v>1795</v>
      </c>
      <c r="K72" s="171" t="s">
        <v>1796</v>
      </c>
      <c r="L72" s="171"/>
      <c r="M72" s="171"/>
      <c r="N72" s="171"/>
      <c r="O72" s="171" t="s">
        <v>1803</v>
      </c>
      <c r="P72" s="171" t="s">
        <v>71</v>
      </c>
    </row>
    <row r="73" spans="1:16" ht="60">
      <c r="A73" s="290" t="s">
        <v>154</v>
      </c>
      <c r="B73" s="283" t="s">
        <v>403</v>
      </c>
      <c r="C73" s="253" t="s">
        <v>1804</v>
      </c>
      <c r="D73" s="253" t="s">
        <v>217</v>
      </c>
      <c r="E73" s="253" t="s">
        <v>1635</v>
      </c>
      <c r="F73" s="171"/>
      <c r="G73" s="171"/>
      <c r="H73" s="171" t="s">
        <v>1805</v>
      </c>
      <c r="I73" s="171" t="s">
        <v>1806</v>
      </c>
      <c r="J73" s="171" t="s">
        <v>1795</v>
      </c>
      <c r="K73" s="171" t="s">
        <v>1796</v>
      </c>
      <c r="L73" s="171"/>
      <c r="M73" s="171"/>
      <c r="N73" s="171"/>
      <c r="O73" s="171" t="s">
        <v>1807</v>
      </c>
      <c r="P73" s="171" t="s">
        <v>71</v>
      </c>
    </row>
    <row r="74" spans="1:16" ht="60">
      <c r="A74" s="290" t="s">
        <v>155</v>
      </c>
      <c r="B74" s="283" t="s">
        <v>405</v>
      </c>
      <c r="C74" s="253" t="s">
        <v>1808</v>
      </c>
      <c r="D74" s="253" t="s">
        <v>217</v>
      </c>
      <c r="E74" s="253" t="s">
        <v>1635</v>
      </c>
      <c r="F74" s="171"/>
      <c r="G74" s="171"/>
      <c r="H74" s="171" t="s">
        <v>1809</v>
      </c>
      <c r="I74" s="171" t="s">
        <v>1806</v>
      </c>
      <c r="J74" s="171" t="s">
        <v>1795</v>
      </c>
      <c r="K74" s="171" t="s">
        <v>1796</v>
      </c>
      <c r="L74" s="171"/>
      <c r="M74" s="171"/>
      <c r="N74" s="171"/>
      <c r="O74" s="171" t="s">
        <v>1810</v>
      </c>
      <c r="P74" s="171" t="s">
        <v>71</v>
      </c>
    </row>
    <row r="75" spans="1:16" ht="45">
      <c r="A75" s="290" t="s">
        <v>161</v>
      </c>
      <c r="B75" s="283" t="s">
        <v>417</v>
      </c>
      <c r="C75" s="253" t="s">
        <v>1811</v>
      </c>
      <c r="D75" s="253" t="s">
        <v>204</v>
      </c>
      <c r="E75" s="253" t="s">
        <v>1748</v>
      </c>
      <c r="F75" s="171"/>
      <c r="G75" s="171"/>
      <c r="H75" s="171" t="s">
        <v>1523</v>
      </c>
      <c r="I75" s="171" t="s">
        <v>1774</v>
      </c>
      <c r="J75" s="171" t="s">
        <v>1812</v>
      </c>
      <c r="K75" s="171" t="s">
        <v>1813</v>
      </c>
      <c r="L75" s="171"/>
      <c r="M75" s="171"/>
      <c r="N75" s="171"/>
      <c r="O75" s="171" t="s">
        <v>1575</v>
      </c>
      <c r="P75" s="171" t="s">
        <v>71</v>
      </c>
    </row>
    <row r="76" spans="1:16" ht="45">
      <c r="A76" s="290" t="s">
        <v>164</v>
      </c>
      <c r="B76" s="283" t="s">
        <v>440</v>
      </c>
      <c r="C76" s="253" t="s">
        <v>1811</v>
      </c>
      <c r="D76" s="253" t="s">
        <v>204</v>
      </c>
      <c r="E76" s="253" t="s">
        <v>1748</v>
      </c>
      <c r="F76" s="171"/>
      <c r="G76" s="171"/>
      <c r="H76" s="171" t="s">
        <v>1523</v>
      </c>
      <c r="I76" s="171" t="s">
        <v>1532</v>
      </c>
      <c r="J76" s="171" t="s">
        <v>1812</v>
      </c>
      <c r="K76" s="171" t="s">
        <v>1813</v>
      </c>
      <c r="L76" s="171"/>
      <c r="M76" s="171"/>
      <c r="N76" s="171"/>
      <c r="O76" s="171" t="s">
        <v>1575</v>
      </c>
      <c r="P76" s="171" t="s">
        <v>71</v>
      </c>
    </row>
    <row r="77" spans="1:16" ht="45">
      <c r="A77" s="290" t="s">
        <v>165</v>
      </c>
      <c r="B77" s="283" t="s">
        <v>442</v>
      </c>
      <c r="C77" s="253" t="s">
        <v>1814</v>
      </c>
      <c r="D77" s="253" t="s">
        <v>204</v>
      </c>
      <c r="E77" s="253" t="s">
        <v>1732</v>
      </c>
      <c r="F77" s="171"/>
      <c r="G77" s="171"/>
      <c r="H77" s="171" t="s">
        <v>1523</v>
      </c>
      <c r="I77" s="171" t="s">
        <v>1532</v>
      </c>
      <c r="J77" s="171" t="s">
        <v>1815</v>
      </c>
      <c r="K77" s="171" t="s">
        <v>1813</v>
      </c>
      <c r="L77" s="171" t="s">
        <v>1778</v>
      </c>
      <c r="M77" s="171" t="s">
        <v>1816</v>
      </c>
      <c r="N77" s="171"/>
      <c r="O77" s="171" t="s">
        <v>1575</v>
      </c>
      <c r="P77" s="171" t="s">
        <v>71</v>
      </c>
    </row>
    <row r="78" spans="1:16" ht="60">
      <c r="A78" s="290" t="s">
        <v>166</v>
      </c>
      <c r="B78" s="283" t="s">
        <v>444</v>
      </c>
      <c r="C78" s="253" t="s">
        <v>1817</v>
      </c>
      <c r="D78" s="253" t="s">
        <v>204</v>
      </c>
      <c r="E78" s="253" t="s">
        <v>1732</v>
      </c>
      <c r="F78" s="171"/>
      <c r="G78" s="171"/>
      <c r="H78" s="171" t="s">
        <v>1523</v>
      </c>
      <c r="I78" s="171" t="s">
        <v>1532</v>
      </c>
      <c r="J78" s="171" t="s">
        <v>1818</v>
      </c>
      <c r="K78" s="171" t="s">
        <v>1813</v>
      </c>
      <c r="L78" s="171" t="s">
        <v>1778</v>
      </c>
      <c r="M78" s="171" t="s">
        <v>1816</v>
      </c>
      <c r="N78" s="171"/>
      <c r="O78" s="171" t="s">
        <v>1575</v>
      </c>
      <c r="P78" s="171" t="s">
        <v>71</v>
      </c>
    </row>
    <row r="79" spans="1:16" ht="60">
      <c r="A79" s="290" t="s">
        <v>167</v>
      </c>
      <c r="B79" s="283" t="s">
        <v>445</v>
      </c>
      <c r="C79" s="253" t="s">
        <v>1651</v>
      </c>
      <c r="D79" s="253" t="s">
        <v>204</v>
      </c>
      <c r="E79" s="253" t="s">
        <v>1643</v>
      </c>
      <c r="F79" s="171"/>
      <c r="G79" s="171"/>
      <c r="H79" s="171" t="s">
        <v>1819</v>
      </c>
      <c r="I79" s="171" t="s">
        <v>1532</v>
      </c>
      <c r="J79" s="171" t="s">
        <v>1653</v>
      </c>
      <c r="K79" s="171" t="s">
        <v>1649</v>
      </c>
      <c r="L79" s="171"/>
      <c r="M79" s="171"/>
      <c r="N79" s="171"/>
      <c r="O79" s="171" t="s">
        <v>1575</v>
      </c>
      <c r="P79" s="171" t="s">
        <v>71</v>
      </c>
    </row>
    <row r="80" spans="1:16" ht="60">
      <c r="A80" s="290" t="s">
        <v>168</v>
      </c>
      <c r="B80" s="283" t="s">
        <v>447</v>
      </c>
      <c r="C80" s="253" t="s">
        <v>1642</v>
      </c>
      <c r="D80" s="253" t="s">
        <v>204</v>
      </c>
      <c r="E80" s="253" t="s">
        <v>1643</v>
      </c>
      <c r="F80" s="171"/>
      <c r="G80" s="171"/>
      <c r="H80" s="171" t="s">
        <v>1820</v>
      </c>
      <c r="I80" s="171" t="s">
        <v>1645</v>
      </c>
      <c r="J80" s="171" t="s">
        <v>1646</v>
      </c>
      <c r="K80" s="171" t="s">
        <v>1647</v>
      </c>
      <c r="L80" s="171" t="s">
        <v>1821</v>
      </c>
      <c r="M80" s="171" t="s">
        <v>1649</v>
      </c>
      <c r="N80" s="171"/>
      <c r="O80" s="171" t="s">
        <v>1575</v>
      </c>
      <c r="P80" s="171" t="s">
        <v>71</v>
      </c>
    </row>
    <row r="81" spans="1:16" ht="60">
      <c r="A81" s="290" t="s">
        <v>169</v>
      </c>
      <c r="B81" s="283" t="s">
        <v>449</v>
      </c>
      <c r="C81" s="253" t="s">
        <v>1651</v>
      </c>
      <c r="D81" s="253" t="s">
        <v>204</v>
      </c>
      <c r="E81" s="253" t="s">
        <v>1643</v>
      </c>
      <c r="F81" s="171"/>
      <c r="G81" s="171"/>
      <c r="H81" s="171" t="s">
        <v>1819</v>
      </c>
      <c r="I81" s="171" t="s">
        <v>1820</v>
      </c>
      <c r="J81" s="171" t="s">
        <v>1653</v>
      </c>
      <c r="K81" s="171" t="s">
        <v>1649</v>
      </c>
      <c r="L81" s="171"/>
      <c r="M81" s="171"/>
      <c r="N81" s="171"/>
      <c r="O81" s="171" t="s">
        <v>1575</v>
      </c>
      <c r="P81" s="171" t="s">
        <v>71</v>
      </c>
    </row>
    <row r="82" spans="1:16" ht="90">
      <c r="A82" s="290" t="s">
        <v>170</v>
      </c>
      <c r="B82" s="283" t="s">
        <v>587</v>
      </c>
      <c r="C82" s="253" t="s">
        <v>1751</v>
      </c>
      <c r="D82" s="253" t="s">
        <v>204</v>
      </c>
      <c r="E82" s="253" t="s">
        <v>1752</v>
      </c>
      <c r="F82" s="171"/>
      <c r="G82" s="171"/>
      <c r="H82" s="171" t="s">
        <v>1822</v>
      </c>
      <c r="I82" s="171" t="s">
        <v>1823</v>
      </c>
      <c r="J82" s="171" t="s">
        <v>1673</v>
      </c>
      <c r="K82" s="171" t="s">
        <v>1756</v>
      </c>
      <c r="L82" s="171"/>
      <c r="M82" s="171"/>
      <c r="N82" s="171"/>
      <c r="O82" s="171" t="s">
        <v>1576</v>
      </c>
      <c r="P82" s="171" t="s">
        <v>71</v>
      </c>
    </row>
    <row r="83" spans="1:16" ht="60">
      <c r="A83" s="290" t="s">
        <v>171</v>
      </c>
      <c r="B83" s="283" t="s">
        <v>479</v>
      </c>
      <c r="C83" s="253" t="s">
        <v>1824</v>
      </c>
      <c r="D83" s="253" t="s">
        <v>204</v>
      </c>
      <c r="E83" s="253" t="s">
        <v>1752</v>
      </c>
      <c r="F83" s="171"/>
      <c r="G83" s="171"/>
      <c r="H83" s="171" t="s">
        <v>1825</v>
      </c>
      <c r="I83" s="171" t="s">
        <v>1822</v>
      </c>
      <c r="J83" s="171" t="s">
        <v>1826</v>
      </c>
      <c r="K83" s="171" t="s">
        <v>1827</v>
      </c>
      <c r="L83" s="171" t="s">
        <v>1673</v>
      </c>
      <c r="M83" s="171" t="s">
        <v>1828</v>
      </c>
      <c r="N83" s="171"/>
      <c r="O83" s="171" t="s">
        <v>1576</v>
      </c>
      <c r="P83" s="171" t="s">
        <v>71</v>
      </c>
    </row>
    <row r="84" spans="1:16" ht="60">
      <c r="A84" s="290" t="s">
        <v>172</v>
      </c>
      <c r="B84" s="283" t="s">
        <v>592</v>
      </c>
      <c r="C84" s="253" t="s">
        <v>1824</v>
      </c>
      <c r="D84" s="253" t="s">
        <v>204</v>
      </c>
      <c r="E84" s="253" t="s">
        <v>1752</v>
      </c>
      <c r="F84" s="171"/>
      <c r="G84" s="171"/>
      <c r="H84" s="171" t="s">
        <v>1825</v>
      </c>
      <c r="I84" s="171" t="s">
        <v>1822</v>
      </c>
      <c r="J84" s="171" t="s">
        <v>1826</v>
      </c>
      <c r="K84" s="171" t="s">
        <v>1829</v>
      </c>
      <c r="L84" s="171" t="s">
        <v>1673</v>
      </c>
      <c r="M84" s="171" t="s">
        <v>1828</v>
      </c>
      <c r="N84" s="171"/>
      <c r="O84" s="171" t="s">
        <v>1576</v>
      </c>
      <c r="P84" s="171" t="s">
        <v>71</v>
      </c>
    </row>
    <row r="85" spans="1:16" ht="60">
      <c r="A85" s="290" t="s">
        <v>173</v>
      </c>
      <c r="B85" s="283" t="s">
        <v>596</v>
      </c>
      <c r="C85" s="253" t="s">
        <v>1830</v>
      </c>
      <c r="D85" s="253" t="s">
        <v>204</v>
      </c>
      <c r="E85" s="253" t="s">
        <v>1752</v>
      </c>
      <c r="F85" s="171"/>
      <c r="G85" s="171"/>
      <c r="H85" s="171" t="s">
        <v>1825</v>
      </c>
      <c r="I85" s="171" t="s">
        <v>1822</v>
      </c>
      <c r="J85" s="171" t="s">
        <v>1826</v>
      </c>
      <c r="K85" s="171" t="s">
        <v>1827</v>
      </c>
      <c r="L85" s="171" t="s">
        <v>1673</v>
      </c>
      <c r="M85" s="171" t="s">
        <v>1828</v>
      </c>
      <c r="N85" s="171"/>
      <c r="O85" s="171" t="s">
        <v>1576</v>
      </c>
      <c r="P85" s="171" t="s">
        <v>71</v>
      </c>
    </row>
    <row r="86" spans="1:16" ht="60">
      <c r="A86" s="290" t="s">
        <v>174</v>
      </c>
      <c r="B86" s="283" t="s">
        <v>589</v>
      </c>
      <c r="C86" s="253" t="s">
        <v>1824</v>
      </c>
      <c r="D86" s="253" t="s">
        <v>204</v>
      </c>
      <c r="E86" s="253" t="s">
        <v>1752</v>
      </c>
      <c r="F86" s="171"/>
      <c r="G86" s="171"/>
      <c r="H86" s="171" t="s">
        <v>1825</v>
      </c>
      <c r="I86" s="171" t="s">
        <v>1822</v>
      </c>
      <c r="J86" s="171" t="s">
        <v>1831</v>
      </c>
      <c r="K86" s="171" t="s">
        <v>1827</v>
      </c>
      <c r="L86" s="171" t="s">
        <v>1673</v>
      </c>
      <c r="M86" s="171" t="s">
        <v>1828</v>
      </c>
      <c r="N86" s="171"/>
      <c r="O86" s="171" t="s">
        <v>1576</v>
      </c>
      <c r="P86" s="171" t="s">
        <v>71</v>
      </c>
    </row>
    <row r="87" spans="1:16" ht="75">
      <c r="A87" s="290" t="s">
        <v>175</v>
      </c>
      <c r="B87" s="283" t="s">
        <v>571</v>
      </c>
      <c r="C87" s="253" t="s">
        <v>1832</v>
      </c>
      <c r="D87" s="253" t="s">
        <v>204</v>
      </c>
      <c r="E87" s="253" t="s">
        <v>1752</v>
      </c>
      <c r="F87" s="171"/>
      <c r="G87" s="171"/>
      <c r="H87" s="171" t="s">
        <v>1833</v>
      </c>
      <c r="I87" s="171" t="s">
        <v>1834</v>
      </c>
      <c r="J87" s="171" t="s">
        <v>1835</v>
      </c>
      <c r="K87" s="171" t="s">
        <v>1836</v>
      </c>
      <c r="L87" s="171" t="s">
        <v>1837</v>
      </c>
      <c r="M87" s="171" t="s">
        <v>1838</v>
      </c>
      <c r="N87" s="171" t="s">
        <v>1839</v>
      </c>
      <c r="O87" s="171" t="s">
        <v>1576</v>
      </c>
      <c r="P87" s="171" t="s">
        <v>71</v>
      </c>
    </row>
    <row r="88" spans="1:16" ht="60">
      <c r="A88" s="290" t="s">
        <v>176</v>
      </c>
      <c r="B88" s="283" t="s">
        <v>492</v>
      </c>
      <c r="C88" s="253" t="s">
        <v>1840</v>
      </c>
      <c r="D88" s="253" t="s">
        <v>204</v>
      </c>
      <c r="E88" s="253" t="s">
        <v>1643</v>
      </c>
      <c r="F88" s="171"/>
      <c r="G88" s="171"/>
      <c r="H88" s="171" t="s">
        <v>1841</v>
      </c>
      <c r="I88" s="171" t="s">
        <v>1532</v>
      </c>
      <c r="J88" s="171" t="s">
        <v>1649</v>
      </c>
      <c r="K88" s="171" t="s">
        <v>1842</v>
      </c>
      <c r="L88" s="171" t="s">
        <v>1843</v>
      </c>
      <c r="M88" s="171" t="s">
        <v>1844</v>
      </c>
      <c r="N88" s="171"/>
      <c r="O88" s="171" t="s">
        <v>1576</v>
      </c>
      <c r="P88" s="171" t="s">
        <v>71</v>
      </c>
    </row>
    <row r="89" spans="1:16" ht="75">
      <c r="A89" s="290" t="s">
        <v>177</v>
      </c>
      <c r="B89" s="283" t="s">
        <v>494</v>
      </c>
      <c r="C89" s="253" t="s">
        <v>1845</v>
      </c>
      <c r="D89" s="253" t="s">
        <v>217</v>
      </c>
      <c r="E89" s="253" t="s">
        <v>1635</v>
      </c>
      <c r="F89" s="171"/>
      <c r="G89" s="171"/>
      <c r="H89" s="171" t="s">
        <v>1809</v>
      </c>
      <c r="I89" s="171" t="s">
        <v>1846</v>
      </c>
      <c r="J89" s="171" t="s">
        <v>1847</v>
      </c>
      <c r="K89" s="171"/>
      <c r="L89" s="171"/>
      <c r="M89" s="171"/>
      <c r="N89" s="171"/>
      <c r="O89" s="171" t="s">
        <v>1848</v>
      </c>
      <c r="P89" s="171" t="s">
        <v>71</v>
      </c>
    </row>
    <row r="90" spans="1:16" ht="75">
      <c r="A90" s="290" t="s">
        <v>179</v>
      </c>
      <c r="B90" s="283" t="s">
        <v>498</v>
      </c>
      <c r="C90" s="253" t="s">
        <v>1849</v>
      </c>
      <c r="D90" s="253" t="s">
        <v>204</v>
      </c>
      <c r="E90" s="253" t="s">
        <v>1643</v>
      </c>
      <c r="F90" s="171"/>
      <c r="G90" s="171"/>
      <c r="H90" s="171" t="s">
        <v>1760</v>
      </c>
      <c r="I90" s="171" t="s">
        <v>1761</v>
      </c>
      <c r="J90" s="171" t="s">
        <v>1850</v>
      </c>
      <c r="K90" s="171" t="s">
        <v>1851</v>
      </c>
      <c r="L90" s="171" t="s">
        <v>1772</v>
      </c>
      <c r="M90" s="171"/>
      <c r="N90" s="171"/>
      <c r="O90" s="171" t="s">
        <v>1576</v>
      </c>
      <c r="P90" s="171" t="s">
        <v>71</v>
      </c>
    </row>
    <row r="91" spans="1:16" ht="60">
      <c r="A91" s="290" t="s">
        <v>180</v>
      </c>
      <c r="B91" s="283" t="s">
        <v>500</v>
      </c>
      <c r="C91" s="253" t="s">
        <v>1852</v>
      </c>
      <c r="D91" s="253" t="s">
        <v>204</v>
      </c>
      <c r="E91" s="253" t="s">
        <v>1853</v>
      </c>
      <c r="F91" s="171"/>
      <c r="G91" s="171"/>
      <c r="H91" s="171" t="s">
        <v>1854</v>
      </c>
      <c r="I91" s="171" t="s">
        <v>1855</v>
      </c>
      <c r="J91" s="171" t="s">
        <v>1856</v>
      </c>
      <c r="K91" s="171" t="s">
        <v>1857</v>
      </c>
      <c r="L91" s="171" t="s">
        <v>1767</v>
      </c>
      <c r="M91" s="171" t="s">
        <v>1673</v>
      </c>
      <c r="N91" s="171"/>
      <c r="O91" s="171" t="s">
        <v>1575</v>
      </c>
      <c r="P91" s="171" t="s">
        <v>71</v>
      </c>
    </row>
    <row r="92" spans="1:16" ht="60">
      <c r="A92" s="290" t="s">
        <v>181</v>
      </c>
      <c r="B92" s="283" t="s">
        <v>501</v>
      </c>
      <c r="C92" s="253" t="s">
        <v>1852</v>
      </c>
      <c r="D92" s="253" t="s">
        <v>204</v>
      </c>
      <c r="E92" s="253" t="s">
        <v>1853</v>
      </c>
      <c r="F92" s="171"/>
      <c r="G92" s="171"/>
      <c r="H92" s="171" t="s">
        <v>1854</v>
      </c>
      <c r="I92" s="171" t="s">
        <v>1858</v>
      </c>
      <c r="J92" s="171" t="s">
        <v>1859</v>
      </c>
      <c r="K92" s="171" t="s">
        <v>1857</v>
      </c>
      <c r="L92" s="171" t="s">
        <v>1767</v>
      </c>
      <c r="M92" s="171" t="s">
        <v>1673</v>
      </c>
      <c r="N92" s="171"/>
      <c r="O92" s="171" t="s">
        <v>1575</v>
      </c>
      <c r="P92" s="171" t="s">
        <v>71</v>
      </c>
    </row>
    <row r="93" spans="1:16" ht="45">
      <c r="A93" s="290" t="s">
        <v>184</v>
      </c>
      <c r="B93" s="283" t="s">
        <v>506</v>
      </c>
      <c r="C93" s="253" t="s">
        <v>1860</v>
      </c>
      <c r="D93" s="253" t="s">
        <v>1634</v>
      </c>
      <c r="E93" s="253" t="s">
        <v>1635</v>
      </c>
      <c r="F93" s="171"/>
      <c r="G93" s="171"/>
      <c r="H93" s="171" t="s">
        <v>1636</v>
      </c>
      <c r="I93" s="171" t="s">
        <v>1861</v>
      </c>
      <c r="J93" s="171" t="s">
        <v>1639</v>
      </c>
      <c r="K93" s="171" t="s">
        <v>1862</v>
      </c>
      <c r="L93" s="171"/>
      <c r="M93" s="171"/>
      <c r="N93" s="171"/>
      <c r="O93" s="171" t="s">
        <v>1863</v>
      </c>
      <c r="P93" s="171" t="s">
        <v>71</v>
      </c>
    </row>
    <row r="94" spans="1:16" ht="75">
      <c r="A94" s="290" t="s">
        <v>185</v>
      </c>
      <c r="B94" s="283" t="s">
        <v>508</v>
      </c>
      <c r="C94" s="253" t="s">
        <v>1775</v>
      </c>
      <c r="D94" s="253" t="s">
        <v>204</v>
      </c>
      <c r="E94" s="253" t="s">
        <v>1732</v>
      </c>
      <c r="F94" s="171"/>
      <c r="G94" s="171"/>
      <c r="H94" s="171" t="s">
        <v>1776</v>
      </c>
      <c r="I94" s="171" t="s">
        <v>1523</v>
      </c>
      <c r="J94" s="171" t="s">
        <v>1532</v>
      </c>
      <c r="K94" s="171" t="s">
        <v>1778</v>
      </c>
      <c r="L94" s="171" t="s">
        <v>1779</v>
      </c>
      <c r="M94" s="171"/>
      <c r="N94" s="171"/>
      <c r="O94" s="171" t="s">
        <v>1575</v>
      </c>
      <c r="P94" s="171" t="s">
        <v>71</v>
      </c>
    </row>
    <row r="95" spans="1:16" ht="105">
      <c r="A95" s="290" t="s">
        <v>186</v>
      </c>
      <c r="B95" s="283" t="s">
        <v>583</v>
      </c>
      <c r="C95" s="253" t="s">
        <v>1864</v>
      </c>
      <c r="D95" s="253" t="s">
        <v>204</v>
      </c>
      <c r="E95" s="253" t="s">
        <v>1752</v>
      </c>
      <c r="F95" s="171"/>
      <c r="G95" s="171"/>
      <c r="H95" s="171" t="s">
        <v>1865</v>
      </c>
      <c r="I95" s="171" t="s">
        <v>1866</v>
      </c>
      <c r="J95" s="171" t="s">
        <v>1867</v>
      </c>
      <c r="K95" s="171" t="s">
        <v>1868</v>
      </c>
      <c r="L95" s="171" t="s">
        <v>1869</v>
      </c>
      <c r="M95" s="171" t="s">
        <v>1870</v>
      </c>
      <c r="N95" s="171"/>
      <c r="O95" s="171" t="s">
        <v>1576</v>
      </c>
      <c r="P95" s="171" t="s">
        <v>71</v>
      </c>
    </row>
    <row r="96" spans="1:16" ht="60">
      <c r="A96" s="290" t="s">
        <v>190</v>
      </c>
      <c r="B96" s="283" t="s">
        <v>515</v>
      </c>
      <c r="C96" s="253" t="s">
        <v>1871</v>
      </c>
      <c r="D96" s="253" t="s">
        <v>1634</v>
      </c>
      <c r="E96" s="253" t="s">
        <v>1635</v>
      </c>
      <c r="F96" s="171"/>
      <c r="G96" s="171"/>
      <c r="H96" s="171" t="s">
        <v>1872</v>
      </c>
      <c r="I96" s="171" t="s">
        <v>1873</v>
      </c>
      <c r="J96" s="171" t="s">
        <v>1874</v>
      </c>
      <c r="K96" s="171" t="s">
        <v>1875</v>
      </c>
      <c r="L96" s="171" t="s">
        <v>1876</v>
      </c>
      <c r="M96" s="171" t="s">
        <v>1644</v>
      </c>
      <c r="N96" s="171"/>
      <c r="O96" s="171" t="s">
        <v>1877</v>
      </c>
      <c r="P96" s="171" t="s">
        <v>71</v>
      </c>
    </row>
    <row r="97" spans="1:16" ht="60">
      <c r="A97" s="290" t="s">
        <v>192</v>
      </c>
      <c r="B97" s="283" t="s">
        <v>520</v>
      </c>
      <c r="C97" s="253" t="s">
        <v>1878</v>
      </c>
      <c r="D97" s="253" t="s">
        <v>1879</v>
      </c>
      <c r="E97" s="253" t="s">
        <v>1494</v>
      </c>
      <c r="F97" s="171"/>
      <c r="G97" s="171"/>
      <c r="H97" s="171" t="s">
        <v>1879</v>
      </c>
      <c r="I97" s="171" t="s">
        <v>1880</v>
      </c>
      <c r="J97" s="171" t="s">
        <v>1522</v>
      </c>
      <c r="K97" s="171" t="s">
        <v>1881</v>
      </c>
      <c r="L97" s="171"/>
      <c r="M97" s="171"/>
      <c r="N97" s="171"/>
      <c r="O97" s="171" t="s">
        <v>1882</v>
      </c>
      <c r="P97" s="171" t="s">
        <v>71</v>
      </c>
    </row>
    <row r="98" spans="1:16" ht="120">
      <c r="A98" s="290" t="s">
        <v>193</v>
      </c>
      <c r="B98" s="283" t="s">
        <v>522</v>
      </c>
      <c r="C98" s="253" t="s">
        <v>1883</v>
      </c>
      <c r="D98" s="253" t="s">
        <v>1634</v>
      </c>
      <c r="E98" s="253" t="s">
        <v>1635</v>
      </c>
      <c r="F98" s="171"/>
      <c r="G98" s="171"/>
      <c r="H98" s="171" t="s">
        <v>1884</v>
      </c>
      <c r="I98" s="171" t="s">
        <v>1885</v>
      </c>
      <c r="J98" s="171" t="s">
        <v>1886</v>
      </c>
      <c r="K98" s="171" t="s">
        <v>1887</v>
      </c>
      <c r="L98" s="171" t="s">
        <v>1888</v>
      </c>
      <c r="M98" s="171" t="s">
        <v>1889</v>
      </c>
      <c r="N98" s="171"/>
      <c r="O98" s="171" t="s">
        <v>1863</v>
      </c>
      <c r="P98" s="171" t="s">
        <v>71</v>
      </c>
    </row>
    <row r="99" spans="1:16" ht="75">
      <c r="A99" s="290" t="s">
        <v>195</v>
      </c>
      <c r="B99" s="283" t="s">
        <v>645</v>
      </c>
      <c r="C99" s="253" t="s">
        <v>1890</v>
      </c>
      <c r="D99" s="253" t="s">
        <v>1634</v>
      </c>
      <c r="E99" s="253" t="s">
        <v>1635</v>
      </c>
      <c r="F99" s="171"/>
      <c r="G99" s="171"/>
      <c r="H99" s="171" t="s">
        <v>1891</v>
      </c>
      <c r="I99" s="171" t="s">
        <v>1892</v>
      </c>
      <c r="J99" s="171" t="s">
        <v>1893</v>
      </c>
      <c r="K99" s="171" t="s">
        <v>1894</v>
      </c>
      <c r="L99" s="171"/>
      <c r="M99" s="171"/>
      <c r="N99" s="171"/>
      <c r="O99" s="171" t="s">
        <v>1877</v>
      </c>
      <c r="P99" s="171" t="s">
        <v>71</v>
      </c>
    </row>
    <row r="100" spans="1:16" ht="75">
      <c r="A100" s="290" t="s">
        <v>196</v>
      </c>
      <c r="B100" s="283" t="s">
        <v>525</v>
      </c>
      <c r="C100" s="253" t="s">
        <v>1895</v>
      </c>
      <c r="D100" s="253" t="s">
        <v>1634</v>
      </c>
      <c r="E100" s="253" t="s">
        <v>1635</v>
      </c>
      <c r="F100" s="171"/>
      <c r="G100" s="171"/>
      <c r="H100" s="171" t="s">
        <v>1636</v>
      </c>
      <c r="I100" s="171" t="s">
        <v>1896</v>
      </c>
      <c r="J100" s="171" t="s">
        <v>1638</v>
      </c>
      <c r="K100" s="171" t="s">
        <v>1639</v>
      </c>
      <c r="L100" s="171" t="s">
        <v>1640</v>
      </c>
      <c r="M100" s="171"/>
      <c r="N100" s="171"/>
      <c r="O100" s="171" t="s">
        <v>1863</v>
      </c>
      <c r="P100" s="171" t="s">
        <v>71</v>
      </c>
    </row>
  </sheetData>
  <autoFilter ref="A1:P100"/>
  <phoneticPr fontId="39" type="noConversion"/>
  <pageMargins left="0.25" right="0.25" top="0.75" bottom="0.75" header="0.3" footer="0.3"/>
  <pageSetup paperSize="3" scale="34" fitToWidth="2" orientation="landscape"/>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filterMode="1" enableFormatConditionsCalculation="0"/>
  <dimension ref="A1:BB147"/>
  <sheetViews>
    <sheetView workbookViewId="0">
      <pane xSplit="9" ySplit="3" topLeftCell="J4" activePane="bottomRight" state="frozen"/>
      <selection pane="topRight" activeCell="H1" sqref="H1"/>
      <selection pane="bottomLeft" activeCell="A4" sqref="A4"/>
      <selection pane="bottomRight" activeCell="C12" sqref="C12"/>
    </sheetView>
  </sheetViews>
  <sheetFormatPr baseColWidth="10" defaultColWidth="11" defaultRowHeight="58.5" customHeight="1" x14ac:dyDescent="0"/>
  <cols>
    <col min="1" max="1" width="10.5" customWidth="1"/>
    <col min="2" max="4" width="16.1640625" style="119" customWidth="1"/>
    <col min="5" max="5" width="9.33203125" customWidth="1"/>
    <col min="6" max="6" width="13.33203125" customWidth="1"/>
    <col min="7" max="7" width="14.5" customWidth="1"/>
    <col min="8" max="8" width="13.33203125" customWidth="1"/>
    <col min="9" max="10" width="17.1640625" customWidth="1"/>
    <col min="11" max="11" width="13.6640625" customWidth="1"/>
    <col min="12" max="13" width="12" customWidth="1"/>
    <col min="14" max="14" width="8.33203125" customWidth="1"/>
    <col min="15" max="19" width="11.6640625" customWidth="1"/>
    <col min="20" max="21" width="20" customWidth="1"/>
    <col min="22" max="22" width="13.6640625" customWidth="1"/>
    <col min="23" max="23" width="18.1640625" customWidth="1"/>
    <col min="24" max="24" width="13.83203125" customWidth="1"/>
    <col min="25" max="25" width="9" customWidth="1"/>
    <col min="26" max="26" width="19.1640625" customWidth="1"/>
    <col min="27" max="27" width="17.33203125" customWidth="1"/>
    <col min="28" max="28" width="22.83203125" customWidth="1"/>
    <col min="29" max="29" width="13.6640625" customWidth="1"/>
    <col min="30" max="30" width="14" customWidth="1"/>
    <col min="31" max="31" width="11.5" customWidth="1"/>
    <col min="32" max="32" width="13.6640625" customWidth="1"/>
    <col min="33" max="33" width="17.5" customWidth="1"/>
    <col min="34" max="39" width="22.1640625" customWidth="1"/>
    <col min="40" max="40" width="22.83203125" customWidth="1"/>
    <col min="41" max="41" width="15.1640625" customWidth="1"/>
    <col min="42" max="42" width="13.5" customWidth="1"/>
    <col min="43" max="43" width="14.6640625" style="127" customWidth="1"/>
    <col min="44" max="45" width="14.6640625" style="123" customWidth="1"/>
    <col min="46" max="47" width="14.6640625" customWidth="1"/>
    <col min="48" max="48" width="14.6640625" style="140" customWidth="1"/>
    <col min="49" max="50" width="14.6640625" style="123" customWidth="1"/>
    <col min="51" max="51" width="14.6640625" customWidth="1"/>
  </cols>
  <sheetData>
    <row r="1" spans="1:54" s="1" customFormat="1" ht="18" customHeight="1">
      <c r="B1" s="117"/>
      <c r="C1" s="117"/>
      <c r="D1" s="117"/>
      <c r="T1" s="1" t="s">
        <v>2</v>
      </c>
      <c r="U1" s="1" t="s">
        <v>3</v>
      </c>
      <c r="V1" s="1" t="s">
        <v>3</v>
      </c>
      <c r="X1" s="1" t="s">
        <v>4</v>
      </c>
      <c r="Y1" s="1" t="s">
        <v>5</v>
      </c>
      <c r="Z1" s="4" t="s">
        <v>3</v>
      </c>
      <c r="AA1" s="1" t="s">
        <v>6</v>
      </c>
      <c r="AB1" s="4" t="s">
        <v>3</v>
      </c>
      <c r="AC1" s="4" t="s">
        <v>3</v>
      </c>
      <c r="AF1" s="4" t="s">
        <v>3</v>
      </c>
      <c r="AN1" s="1" t="s">
        <v>5</v>
      </c>
      <c r="AO1" s="1" t="s">
        <v>5</v>
      </c>
      <c r="AQ1" s="124"/>
      <c r="AR1" s="120"/>
      <c r="AS1" s="120"/>
      <c r="AV1" s="136"/>
      <c r="AW1" s="120"/>
      <c r="AX1" s="120"/>
    </row>
    <row r="2" spans="1:54" s="2" customFormat="1" ht="24.75" customHeight="1">
      <c r="A2" s="5" t="s">
        <v>7</v>
      </c>
      <c r="B2" s="118" t="s">
        <v>8</v>
      </c>
      <c r="C2" s="118" t="s">
        <v>9</v>
      </c>
      <c r="D2" s="118" t="s">
        <v>9</v>
      </c>
      <c r="E2" s="5" t="s">
        <v>10</v>
      </c>
      <c r="F2" s="2" t="s">
        <v>11</v>
      </c>
      <c r="G2" s="3" t="s">
        <v>11</v>
      </c>
      <c r="H2" s="6"/>
      <c r="I2" s="5" t="s">
        <v>12</v>
      </c>
      <c r="J2" s="5" t="s">
        <v>13</v>
      </c>
      <c r="K2" s="5" t="s">
        <v>14</v>
      </c>
      <c r="L2" s="7" t="s">
        <v>15</v>
      </c>
      <c r="M2" s="8" t="s">
        <v>16</v>
      </c>
      <c r="N2" s="5" t="s">
        <v>17</v>
      </c>
      <c r="O2" s="9" t="s">
        <v>18</v>
      </c>
      <c r="P2" s="9" t="s">
        <v>19</v>
      </c>
      <c r="Q2" s="9" t="s">
        <v>20</v>
      </c>
      <c r="R2" s="111" t="s">
        <v>21</v>
      </c>
      <c r="S2" s="111" t="s">
        <v>22</v>
      </c>
      <c r="T2" s="7" t="s">
        <v>23</v>
      </c>
      <c r="U2" s="7" t="s">
        <v>23</v>
      </c>
      <c r="V2" s="5" t="s">
        <v>24</v>
      </c>
      <c r="W2" s="5" t="s">
        <v>1448</v>
      </c>
      <c r="X2" s="5" t="s">
        <v>25</v>
      </c>
      <c r="Y2" s="5" t="s">
        <v>26</v>
      </c>
      <c r="Z2" s="5" t="s">
        <v>27</v>
      </c>
      <c r="AA2" s="5" t="s">
        <v>28</v>
      </c>
      <c r="AB2" s="5" t="s">
        <v>29</v>
      </c>
      <c r="AC2" s="5" t="s">
        <v>30</v>
      </c>
      <c r="AD2" s="5" t="s">
        <v>31</v>
      </c>
      <c r="AE2" s="5" t="s">
        <v>32</v>
      </c>
      <c r="AF2" s="5" t="s">
        <v>24</v>
      </c>
      <c r="AG2" s="5" t="s">
        <v>33</v>
      </c>
      <c r="AH2" s="5" t="s">
        <v>34</v>
      </c>
      <c r="AI2" s="5" t="s">
        <v>35</v>
      </c>
      <c r="AJ2" s="5" t="s">
        <v>36</v>
      </c>
      <c r="AK2" s="5" t="s">
        <v>37</v>
      </c>
      <c r="AL2" s="5" t="s">
        <v>38</v>
      </c>
      <c r="AM2" s="5" t="s">
        <v>39</v>
      </c>
      <c r="AQ2" s="125" t="s">
        <v>40</v>
      </c>
      <c r="AR2" s="121" t="s">
        <v>40</v>
      </c>
      <c r="AS2" s="121" t="s">
        <v>40</v>
      </c>
      <c r="AT2" s="5" t="s">
        <v>40</v>
      </c>
      <c r="AU2" s="5" t="s">
        <v>40</v>
      </c>
      <c r="AV2" s="137" t="s">
        <v>40</v>
      </c>
      <c r="AW2" s="121"/>
      <c r="AX2" s="167"/>
    </row>
    <row r="3" spans="1:54" s="14" customFormat="1" ht="61.5" customHeight="1">
      <c r="A3" s="13" t="s">
        <v>41</v>
      </c>
      <c r="B3" s="13" t="s">
        <v>42</v>
      </c>
      <c r="C3" s="13" t="s">
        <v>43</v>
      </c>
      <c r="D3" s="13" t="s">
        <v>44</v>
      </c>
      <c r="E3" s="13" t="s">
        <v>45</v>
      </c>
      <c r="F3" s="13" t="s">
        <v>46</v>
      </c>
      <c r="G3" s="13" t="s">
        <v>47</v>
      </c>
      <c r="H3" s="13" t="s">
        <v>1449</v>
      </c>
      <c r="I3" s="13" t="s">
        <v>12</v>
      </c>
      <c r="J3" s="13" t="s">
        <v>13</v>
      </c>
      <c r="K3" s="13" t="s">
        <v>14</v>
      </c>
      <c r="L3" s="13" t="s">
        <v>48</v>
      </c>
      <c r="M3" s="13" t="s">
        <v>49</v>
      </c>
      <c r="N3" s="13" t="s">
        <v>17</v>
      </c>
      <c r="O3" s="13" t="s">
        <v>50</v>
      </c>
      <c r="P3" s="13" t="s">
        <v>51</v>
      </c>
      <c r="Q3" s="13" t="s">
        <v>52</v>
      </c>
      <c r="R3" s="13" t="s">
        <v>53</v>
      </c>
      <c r="S3" s="13" t="s">
        <v>54</v>
      </c>
      <c r="T3" s="15" t="s">
        <v>23</v>
      </c>
      <c r="U3" s="15" t="s">
        <v>23</v>
      </c>
      <c r="V3" s="15" t="s">
        <v>24</v>
      </c>
      <c r="W3" s="13" t="s">
        <v>55</v>
      </c>
      <c r="X3" s="15" t="s">
        <v>25</v>
      </c>
      <c r="Y3" s="15" t="s">
        <v>26</v>
      </c>
      <c r="Z3" s="15" t="s">
        <v>27</v>
      </c>
      <c r="AA3" s="15" t="s">
        <v>28</v>
      </c>
      <c r="AB3" s="15" t="s">
        <v>29</v>
      </c>
      <c r="AC3" s="15" t="s">
        <v>30</v>
      </c>
      <c r="AD3" s="15" t="s">
        <v>31</v>
      </c>
      <c r="AE3" s="15" t="s">
        <v>32</v>
      </c>
      <c r="AF3" s="15" t="s">
        <v>24</v>
      </c>
      <c r="AG3" s="15" t="s">
        <v>33</v>
      </c>
      <c r="AH3" s="15" t="s">
        <v>34</v>
      </c>
      <c r="AI3" s="15" t="s">
        <v>35</v>
      </c>
      <c r="AJ3" s="13" t="s">
        <v>36</v>
      </c>
      <c r="AK3" s="13" t="s">
        <v>37</v>
      </c>
      <c r="AL3" s="13" t="s">
        <v>38</v>
      </c>
      <c r="AM3" s="13" t="s">
        <v>39</v>
      </c>
      <c r="AN3" s="13" t="s">
        <v>1450</v>
      </c>
      <c r="AO3" s="13" t="s">
        <v>1451</v>
      </c>
      <c r="AP3" s="13" t="s">
        <v>1452</v>
      </c>
      <c r="AQ3" s="126" t="s">
        <v>56</v>
      </c>
      <c r="AR3" s="122" t="s">
        <v>57</v>
      </c>
      <c r="AS3" s="122" t="s">
        <v>58</v>
      </c>
      <c r="AT3" s="13" t="s">
        <v>59</v>
      </c>
      <c r="AU3" s="13" t="s">
        <v>61</v>
      </c>
      <c r="AV3" s="138" t="s">
        <v>62</v>
      </c>
      <c r="AW3" s="122" t="s">
        <v>63</v>
      </c>
      <c r="AX3" s="168" t="s">
        <v>64</v>
      </c>
      <c r="AY3" s="128" t="s">
        <v>65</v>
      </c>
      <c r="AZ3" s="13" t="s">
        <v>66</v>
      </c>
      <c r="BA3" s="13" t="s">
        <v>67</v>
      </c>
      <c r="BB3" s="13" t="s">
        <v>68</v>
      </c>
    </row>
    <row r="4" spans="1:54" ht="54" hidden="1" customHeight="1">
      <c r="A4" s="16" t="s">
        <v>189</v>
      </c>
      <c r="B4" s="16" t="e">
        <f>VLOOKUP(A4,'Main Data File'!$C$4:$U$146,19,FALSE)</f>
        <v>#N/A</v>
      </c>
      <c r="C4" s="16"/>
      <c r="D4" s="16"/>
      <c r="E4" s="129"/>
      <c r="F4" s="129" t="e">
        <v>#N/A</v>
      </c>
      <c r="G4" s="130">
        <f>VLOOKUP(A4,'Main Data File'!$C$4:$U$146,17,FALSE)</f>
        <v>0</v>
      </c>
      <c r="H4" s="129"/>
      <c r="I4" s="12" t="str">
        <f>VLOOKUP(A4,'Main Data File'!$C$4:$U$146,2,FALSE)</f>
        <v>15# Gas Test Guage</v>
      </c>
      <c r="J4" s="12" t="e">
        <f>VLOOKUP(A4,'Main Data File'!$C$4:$U$146,18,FALSE)</f>
        <v>#N/A</v>
      </c>
      <c r="K4" s="129" t="s">
        <v>71</v>
      </c>
      <c r="L4" s="129"/>
      <c r="M4" s="129"/>
      <c r="N4" s="129"/>
      <c r="O4" s="129" t="e">
        <f>VLOOKUP(A4,'Main Data File'!$C$4:$U$146,3,FALSE)</f>
        <v>#N/A</v>
      </c>
      <c r="P4" s="129" t="e">
        <f>VLOOKUP(A4,'Main Data File'!$C$4:$U$146,5,FALSE)</f>
        <v>#N/A</v>
      </c>
      <c r="Q4" s="129" t="e">
        <f>VLOOKUP(A4,'Main Data File'!$C$4:$U$146,4,FALSE)</f>
        <v>#N/A</v>
      </c>
      <c r="R4" s="129" t="e">
        <f>VLOOKUP(A4,'Main Data File'!$C$4:$U$146,6,FALSE)</f>
        <v>#N/A</v>
      </c>
      <c r="S4" s="131" t="e">
        <f>VLOOKUP(A4,'Main Data File'!$C$4:$U$146,7,FALSE)</f>
        <v>#N/A</v>
      </c>
      <c r="T4" s="129" t="e">
        <f>VLOOKUP(A4,'Main Data File'!$C$4:$U$146,8,FALSE)</f>
        <v>#N/A</v>
      </c>
      <c r="U4" s="129"/>
      <c r="V4" s="129"/>
      <c r="W4" s="129"/>
      <c r="X4" s="129"/>
      <c r="Y4" s="129"/>
      <c r="Z4" s="129"/>
      <c r="AA4" s="129"/>
      <c r="AB4" s="129"/>
      <c r="AC4" s="129"/>
      <c r="AD4" s="129"/>
      <c r="AE4" s="129"/>
      <c r="AF4" s="129"/>
      <c r="AG4" s="129"/>
      <c r="AH4" s="129"/>
      <c r="AI4" s="129"/>
      <c r="AJ4" s="129"/>
      <c r="AK4" s="129"/>
      <c r="AL4" s="129"/>
      <c r="AM4" s="129"/>
      <c r="AN4" s="129"/>
      <c r="AO4" s="129"/>
      <c r="AP4" s="10"/>
      <c r="AQ4" s="132">
        <f>VLOOKUP(A4,'Main Data File'!$C$4:$U$146,10,FALSE)</f>
        <v>476</v>
      </c>
      <c r="AR4" s="133" t="e">
        <f>VLOOKUP(A4,#REF!,44,FALSE)</f>
        <v>#REF!</v>
      </c>
      <c r="AS4" s="133" t="e">
        <f>VLOOKUP(A4,#REF!,24,FALSE)</f>
        <v>#REF!</v>
      </c>
      <c r="AT4" s="129"/>
      <c r="AU4" s="134" t="e">
        <f t="shared" ref="AU4:AU67" si="0">(AR4-AS4)/AR4</f>
        <v>#REF!</v>
      </c>
      <c r="AV4" s="139"/>
      <c r="AW4" s="133" t="e">
        <f>VLOOKUP(A4,#REF!,25,FALSE)</f>
        <v>#REF!</v>
      </c>
      <c r="AX4" s="133" t="e">
        <f>VLOOKUP(A4,'Lowe''s final SKU list'!$C$2:$Q$99,2,FALSE)</f>
        <v>#N/A</v>
      </c>
      <c r="AY4" s="135">
        <f>VLOOKUP(A4,'Main Data File'!$C$4:$U$146,16,FALSE)</f>
        <v>0</v>
      </c>
      <c r="AZ4" s="135">
        <f>VLOOKUP(A4,'Main Data File'!$C$4:$U$146,13,FALSE)</f>
        <v>0</v>
      </c>
      <c r="BA4" s="135">
        <f>VLOOKUP(A4,'Main Data File'!$C$4:$U$146,14,FALSE)</f>
        <v>0</v>
      </c>
      <c r="BB4" s="135">
        <f>VLOOKUP(A4,'Main Data File'!$C$4:$U$146,15,FALSE)</f>
        <v>0</v>
      </c>
    </row>
    <row r="5" spans="1:54" ht="54" hidden="1" customHeight="1">
      <c r="A5" s="16" t="s">
        <v>533</v>
      </c>
      <c r="B5" s="16" t="e">
        <f>VLOOKUP(A5,'Main Data File'!$C$4:$U$146,19,FALSE)</f>
        <v>#N/A</v>
      </c>
      <c r="C5" s="16"/>
      <c r="D5" s="16"/>
      <c r="E5" s="129"/>
      <c r="F5" s="129" t="e">
        <v>#N/A</v>
      </c>
      <c r="G5" s="130">
        <f>VLOOKUP(A5,'Main Data File'!$C$4:$U$146,17,FALSE)</f>
        <v>0</v>
      </c>
      <c r="H5" s="129"/>
      <c r="I5" s="12" t="str">
        <f>VLOOKUP(A5,'Main Data File'!$C$4:$U$146,2,FALSE)</f>
        <v>Propane Camping Stove / Heater</v>
      </c>
      <c r="J5" s="12" t="e">
        <f>VLOOKUP(A5,'Main Data File'!$C$4:$U$146,18,FALSE)</f>
        <v>#N/A</v>
      </c>
      <c r="K5" s="129" t="s">
        <v>71</v>
      </c>
      <c r="L5" s="129"/>
      <c r="M5" s="129"/>
      <c r="N5" s="129"/>
      <c r="O5" s="129">
        <f>VLOOKUP(A5,'Main Data File'!$C$4:$U$146,3,FALSE)</f>
        <v>14.13</v>
      </c>
      <c r="P5" s="129">
        <f>VLOOKUP(A5,'Main Data File'!$C$4:$U$146,5,FALSE)</f>
        <v>11.13</v>
      </c>
      <c r="Q5" s="129">
        <f>VLOOKUP(A5,'Main Data File'!$C$4:$U$146,4,FALSE)</f>
        <v>11.38</v>
      </c>
      <c r="R5" s="129">
        <f>VLOOKUP(A5,'Main Data File'!$C$4:$U$146,6,FALSE)</f>
        <v>9.5</v>
      </c>
      <c r="S5" s="131">
        <f>VLOOKUP(A5,'Main Data File'!$C$4:$U$146,7,FALSE)</f>
        <v>1.0357044687500003</v>
      </c>
      <c r="T5" s="129" t="str">
        <f>VLOOKUP(A5,'Main Data File'!$C$4:$U$146,8,FALSE)</f>
        <v>Cardboard Box</v>
      </c>
      <c r="U5" s="129"/>
      <c r="V5" s="129"/>
      <c r="W5" s="129"/>
      <c r="X5" s="129"/>
      <c r="Y5" s="129"/>
      <c r="Z5" s="129"/>
      <c r="AA5" s="129"/>
      <c r="AB5" s="129"/>
      <c r="AC5" s="129"/>
      <c r="AD5" s="129"/>
      <c r="AE5" s="129"/>
      <c r="AF5" s="129"/>
      <c r="AG5" s="129"/>
      <c r="AH5" s="129"/>
      <c r="AI5" s="129"/>
      <c r="AJ5" s="129"/>
      <c r="AK5" s="129"/>
      <c r="AL5" s="129"/>
      <c r="AM5" s="129"/>
      <c r="AN5" s="129"/>
      <c r="AO5" s="129"/>
      <c r="AP5" s="10"/>
      <c r="AQ5" s="132">
        <f>VLOOKUP(A5,'Main Data File'!$C$4:$U$146,10,FALSE)</f>
        <v>340.00000000000006</v>
      </c>
      <c r="AR5" s="133" t="e">
        <f>VLOOKUP(A5,#REF!,44,FALSE)</f>
        <v>#REF!</v>
      </c>
      <c r="AS5" s="133" t="e">
        <f>VLOOKUP(A5,#REF!,24,FALSE)</f>
        <v>#REF!</v>
      </c>
      <c r="AT5" s="129"/>
      <c r="AU5" s="134" t="e">
        <f t="shared" si="0"/>
        <v>#REF!</v>
      </c>
      <c r="AV5" s="139"/>
      <c r="AW5" s="133" t="e">
        <f>VLOOKUP(A5,#REF!,25,FALSE)</f>
        <v>#REF!</v>
      </c>
      <c r="AX5" s="133" t="e">
        <f>VLOOKUP(A5,'Lowe''s final SKU list'!$C$2:$Q$99,2,FALSE)</f>
        <v>#N/A</v>
      </c>
      <c r="AY5" s="135">
        <f>VLOOKUP(A5,'Main Data File'!$C$4:$U$146,16,FALSE)</f>
        <v>0</v>
      </c>
      <c r="AZ5" s="135">
        <f>VLOOKUP(A5,'Main Data File'!$C$4:$U$146,13,FALSE)</f>
        <v>0</v>
      </c>
      <c r="BA5" s="135">
        <f>VLOOKUP(A5,'Main Data File'!$C$4:$U$146,14,FALSE)</f>
        <v>0</v>
      </c>
      <c r="BB5" s="135">
        <f>VLOOKUP(A5,'Main Data File'!$C$4:$U$146,15,FALSE)</f>
        <v>0</v>
      </c>
    </row>
    <row r="6" spans="1:54" ht="54" customHeight="1">
      <c r="A6" s="16" t="s">
        <v>69</v>
      </c>
      <c r="B6" s="16" t="str">
        <f>VLOOKUP(A6,'Main Data File'!$C$4:$U$146,19,FALSE)</f>
        <v>Boyd</v>
      </c>
      <c r="C6" s="16"/>
      <c r="D6" s="16"/>
      <c r="E6" s="129"/>
      <c r="F6" s="129" t="s">
        <v>734</v>
      </c>
      <c r="G6" s="130" t="str">
        <f>VLOOKUP(A6,'Main Data File'!$C$4:$U$146,17,FALSE)</f>
        <v>568</v>
      </c>
      <c r="H6" s="129"/>
      <c r="I6" s="12" t="str">
        <f>VLOOKUP(A6,'Main Data File'!$C$4:$U$146,2,FALSE)</f>
        <v>Metal Hose "Y" With Shutoffs</v>
      </c>
      <c r="J6" s="12" t="str">
        <f>VLOOKUP(A6,'Main Data File'!$C$4:$U$146,18,FALSE)</f>
        <v>Use back of World and Main card</v>
      </c>
      <c r="K6" s="129" t="s">
        <v>71</v>
      </c>
      <c r="L6" s="129"/>
      <c r="M6" s="129"/>
      <c r="N6" s="129"/>
      <c r="O6" s="129">
        <f>VLOOKUP(A6,'Main Data File'!$C$4:$U$146,3,FALSE)</f>
        <v>5.7</v>
      </c>
      <c r="P6" s="129">
        <f>VLOOKUP(A6,'Main Data File'!$C$4:$U$146,5,FALSE)</f>
        <v>1.25</v>
      </c>
      <c r="Q6" s="129">
        <f>VLOOKUP(A6,'Main Data File'!$C$4:$U$146,4,FALSE)</f>
        <v>3.65</v>
      </c>
      <c r="R6" s="129">
        <f>VLOOKUP(A6,'Main Data File'!$C$4:$U$146,6,FALSE)</f>
        <v>0.2</v>
      </c>
      <c r="S6" s="131">
        <f>VLOOKUP(A6,'Main Data File'!$C$4:$U$146,7,FALSE)</f>
        <v>1.5049913194444445E-2</v>
      </c>
      <c r="T6" s="129" t="str">
        <f>VLOOKUP(A6,'Main Data File'!$C$4:$U$146,8,FALSE)</f>
        <v>Heat Formed Plastic</v>
      </c>
      <c r="U6" s="129"/>
      <c r="V6" s="129"/>
      <c r="W6" s="129"/>
      <c r="X6" s="129"/>
      <c r="Y6" s="129"/>
      <c r="Z6" s="129"/>
      <c r="AA6" s="129"/>
      <c r="AB6" s="129"/>
      <c r="AC6" s="129"/>
      <c r="AD6" s="129"/>
      <c r="AE6" s="129"/>
      <c r="AF6" s="129"/>
      <c r="AG6" s="129"/>
      <c r="AH6" s="129"/>
      <c r="AI6" s="129"/>
      <c r="AJ6" s="129"/>
      <c r="AK6" s="129"/>
      <c r="AL6" s="129"/>
      <c r="AM6" s="129"/>
      <c r="AN6" s="129"/>
      <c r="AO6" s="129"/>
      <c r="AP6" s="10"/>
      <c r="AQ6" s="132">
        <f>VLOOKUP(A6,'Main Data File'!$C$4:$U$146,10,FALSE)</f>
        <v>340.00000000000006</v>
      </c>
      <c r="AR6" s="133" t="e">
        <f>VLOOKUP(A6,#REF!,44,FALSE)</f>
        <v>#REF!</v>
      </c>
      <c r="AS6" s="133" t="e">
        <f>VLOOKUP(A6,#REF!,24,FALSE)</f>
        <v>#REF!</v>
      </c>
      <c r="AT6" s="129"/>
      <c r="AU6" s="134" t="e">
        <f t="shared" si="0"/>
        <v>#REF!</v>
      </c>
      <c r="AV6" s="139"/>
      <c r="AW6" s="133" t="e">
        <f>VLOOKUP(A6,#REF!,25,FALSE)</f>
        <v>#REF!</v>
      </c>
      <c r="AX6" s="133" t="str">
        <f>VLOOKUP(A6,'Lowe''s final SKU list'!$C$2:$Q$99,2,FALSE)</f>
        <v>YES</v>
      </c>
      <c r="AY6" s="135" t="str">
        <f>VLOOKUP(A6,'Main Data File'!$C$4:$U$146,16,FALSE)</f>
        <v>x</v>
      </c>
      <c r="AZ6" s="135">
        <f>VLOOKUP(A6,'Main Data File'!$C$4:$U$146,13,FALSE)</f>
        <v>0</v>
      </c>
      <c r="BA6" s="135">
        <f>VLOOKUP(A6,'Main Data File'!$C$4:$U$146,14,FALSE)</f>
        <v>0</v>
      </c>
      <c r="BB6" s="135">
        <f>VLOOKUP(A6,'Main Data File'!$C$4:$U$146,15,FALSE)</f>
        <v>0</v>
      </c>
    </row>
    <row r="7" spans="1:54" ht="54" customHeight="1">
      <c r="A7" s="16" t="s">
        <v>74</v>
      </c>
      <c r="B7" s="16" t="str">
        <f>VLOOKUP(A7,'Main Data File'!$C$4:$U$146,19,FALSE)</f>
        <v>Andy</v>
      </c>
      <c r="C7" s="16" t="s">
        <v>75</v>
      </c>
      <c r="D7" s="16" t="s">
        <v>76</v>
      </c>
      <c r="E7" s="129"/>
      <c r="F7" s="129" t="s">
        <v>77</v>
      </c>
      <c r="G7" s="130" t="str">
        <f>VLOOKUP(A7,'Main Data File'!$C$4:$U$146,17,FALSE)</f>
        <v>P-1358C</v>
      </c>
      <c r="H7" s="129"/>
      <c r="I7" s="12" t="str">
        <f>VLOOKUP(A7,'Main Data File'!$C$4:$U$146,2,FALSE)</f>
        <v>Push/Pull Drain Assembly White</v>
      </c>
      <c r="J7" s="169" t="str">
        <f>VLOOKUP(A7,'Main Data File'!$C$4:$U$146,18,FALSE)</f>
        <v>Done.  Item is in Menards.</v>
      </c>
      <c r="K7" s="129" t="s">
        <v>71</v>
      </c>
      <c r="L7" s="129"/>
      <c r="M7" s="129"/>
      <c r="N7" s="129"/>
      <c r="O7" s="129">
        <f>VLOOKUP(A7,'Main Data File'!$C$4:$U$146,3,FALSE)</f>
        <v>10.25</v>
      </c>
      <c r="P7" s="129">
        <f>VLOOKUP(A7,'Main Data File'!$C$4:$U$146,5,FALSE)</f>
        <v>2.38</v>
      </c>
      <c r="Q7" s="129">
        <f>VLOOKUP(A7,'Main Data File'!$C$4:$U$146,4,FALSE)</f>
        <v>3.65</v>
      </c>
      <c r="R7" s="129">
        <f>VLOOKUP(A7,'Main Data File'!$C$4:$U$146,6,FALSE)</f>
        <v>0.19</v>
      </c>
      <c r="S7" s="131">
        <f>VLOOKUP(A7,'Main Data File'!$C$4:$U$146,7,FALSE)</f>
        <v>5.1528790509259258E-2</v>
      </c>
      <c r="T7" s="129" t="str">
        <f>VLOOKUP(A7,'Main Data File'!$C$4:$U$146,8,FALSE)</f>
        <v>Heat Formed Plastic</v>
      </c>
      <c r="U7" s="129"/>
      <c r="V7" s="129"/>
      <c r="W7" s="129"/>
      <c r="X7" s="129"/>
      <c r="Y7" s="129"/>
      <c r="Z7" s="129"/>
      <c r="AA7" s="129"/>
      <c r="AB7" s="129"/>
      <c r="AC7" s="129"/>
      <c r="AD7" s="129"/>
      <c r="AE7" s="129"/>
      <c r="AF7" s="129"/>
      <c r="AG7" s="129"/>
      <c r="AH7" s="129"/>
      <c r="AI7" s="129"/>
      <c r="AJ7" s="129"/>
      <c r="AK7" s="129"/>
      <c r="AL7" s="129"/>
      <c r="AM7" s="129"/>
      <c r="AN7" s="129"/>
      <c r="AO7" s="129"/>
      <c r="AP7" s="10"/>
      <c r="AQ7" s="132">
        <f>VLOOKUP(A7,'Main Data File'!$C$4:$U$146,10,FALSE)</f>
        <v>13720.000000000002</v>
      </c>
      <c r="AR7" s="133" t="e">
        <f>VLOOKUP(A7,#REF!,44,FALSE)</f>
        <v>#REF!</v>
      </c>
      <c r="AS7" s="133" t="e">
        <f>VLOOKUP(A7,#REF!,24,FALSE)</f>
        <v>#REF!</v>
      </c>
      <c r="AT7" s="129"/>
      <c r="AU7" s="134" t="e">
        <f t="shared" si="0"/>
        <v>#REF!</v>
      </c>
      <c r="AV7" s="139"/>
      <c r="AW7" s="133" t="e">
        <f>VLOOKUP(A7,#REF!,25,FALSE)</f>
        <v>#REF!</v>
      </c>
      <c r="AX7" s="133" t="str">
        <f>VLOOKUP(A7,'Lowe''s final SKU list'!$C$2:$Q$99,2,FALSE)</f>
        <v>YES</v>
      </c>
      <c r="AY7" s="135" t="str">
        <f>VLOOKUP(A7,'Main Data File'!$C$4:$U$146,16,FALSE)</f>
        <v>x</v>
      </c>
      <c r="AZ7" s="135" t="str">
        <f>VLOOKUP(A7,'Main Data File'!$C$4:$U$146,13,FALSE)</f>
        <v>x</v>
      </c>
      <c r="BA7" s="135" t="str">
        <f>VLOOKUP(A7,'Main Data File'!$C$4:$U$146,14,FALSE)</f>
        <v>x</v>
      </c>
      <c r="BB7" s="135" t="str">
        <f>VLOOKUP(A7,'Main Data File'!$C$4:$U$146,15,FALSE)</f>
        <v>x</v>
      </c>
    </row>
    <row r="8" spans="1:54" ht="54" customHeight="1">
      <c r="A8" s="16" t="s">
        <v>79</v>
      </c>
      <c r="B8" s="16" t="str">
        <f>VLOOKUP(A8,'Main Data File'!$C$4:$U$146,19,FALSE)</f>
        <v>Andy</v>
      </c>
      <c r="C8" s="16" t="s">
        <v>75</v>
      </c>
      <c r="D8" s="16" t="s">
        <v>76</v>
      </c>
      <c r="E8" s="129"/>
      <c r="F8" s="129" t="s">
        <v>80</v>
      </c>
      <c r="G8" s="130" t="str">
        <f>VLOOKUP(A8,'Main Data File'!$C$4:$U$146,17,FALSE)</f>
        <v>2284W</v>
      </c>
      <c r="H8" s="129"/>
      <c r="I8" s="12" t="str">
        <f>VLOOKUP(A8,'Main Data File'!$C$4:$U$146,2,FALSE)</f>
        <v>Push/Pull Drain Stopper White</v>
      </c>
      <c r="J8" s="169" t="str">
        <f>VLOOKUP(A8,'Main Data File'!$C$4:$U$146,18,FALSE)</f>
        <v>Done.  Item is in Menards.</v>
      </c>
      <c r="K8" s="129" t="s">
        <v>71</v>
      </c>
      <c r="L8" s="129"/>
      <c r="M8" s="129"/>
      <c r="N8" s="129"/>
      <c r="O8" s="129">
        <f>VLOOKUP(A8,'Main Data File'!$C$4:$U$146,3,FALSE)</f>
        <v>4.375</v>
      </c>
      <c r="P8" s="129">
        <f>VLOOKUP(A8,'Main Data File'!$C$4:$U$146,5,FALSE)</f>
        <v>1.38</v>
      </c>
      <c r="Q8" s="129">
        <f>VLOOKUP(A8,'Main Data File'!$C$4:$U$146,4,FALSE)</f>
        <v>3.65</v>
      </c>
      <c r="R8" s="129">
        <f>VLOOKUP(A8,'Main Data File'!$C$4:$U$146,6,FALSE)</f>
        <v>0.04</v>
      </c>
      <c r="S8" s="131">
        <f>VLOOKUP(A8,'Main Data File'!$C$4:$U$146,7,FALSE)</f>
        <v>1.2752821180555554E-2</v>
      </c>
      <c r="T8" s="129" t="str">
        <f>VLOOKUP(A8,'Main Data File'!$C$4:$U$146,8,FALSE)</f>
        <v>Heat Formed Plastic</v>
      </c>
      <c r="U8" s="129"/>
      <c r="V8" s="129"/>
      <c r="W8" s="129"/>
      <c r="X8" s="129"/>
      <c r="Y8" s="129"/>
      <c r="Z8" s="129"/>
      <c r="AA8" s="129"/>
      <c r="AB8" s="129"/>
      <c r="AC8" s="129"/>
      <c r="AD8" s="129"/>
      <c r="AE8" s="129"/>
      <c r="AF8" s="129"/>
      <c r="AG8" s="129"/>
      <c r="AH8" s="129"/>
      <c r="AI8" s="129"/>
      <c r="AJ8" s="129"/>
      <c r="AK8" s="129"/>
      <c r="AL8" s="129"/>
      <c r="AM8" s="129"/>
      <c r="AN8" s="129"/>
      <c r="AO8" s="129"/>
      <c r="AP8" s="10"/>
      <c r="AQ8" s="132">
        <f>VLOOKUP(A8,'Main Data File'!$C$4:$U$146,10,FALSE)</f>
        <v>10290</v>
      </c>
      <c r="AR8" s="133" t="e">
        <f>VLOOKUP(A8,#REF!,44,FALSE)</f>
        <v>#REF!</v>
      </c>
      <c r="AS8" s="133" t="e">
        <f>VLOOKUP(A8,#REF!,24,FALSE)</f>
        <v>#REF!</v>
      </c>
      <c r="AT8" s="129"/>
      <c r="AU8" s="134" t="e">
        <f t="shared" si="0"/>
        <v>#REF!</v>
      </c>
      <c r="AV8" s="139"/>
      <c r="AW8" s="133" t="e">
        <f>VLOOKUP(A8,#REF!,25,FALSE)</f>
        <v>#REF!</v>
      </c>
      <c r="AX8" s="133" t="str">
        <f>VLOOKUP(A8,'Lowe''s final SKU list'!$C$2:$Q$99,2,FALSE)</f>
        <v>YES</v>
      </c>
      <c r="AY8" s="135" t="str">
        <f>VLOOKUP(A8,'Main Data File'!$C$4:$U$146,16,FALSE)</f>
        <v>x</v>
      </c>
      <c r="AZ8" s="135" t="str">
        <f>VLOOKUP(A8,'Main Data File'!$C$4:$U$146,13,FALSE)</f>
        <v>x</v>
      </c>
      <c r="BA8" s="135" t="str">
        <f>VLOOKUP(A8,'Main Data File'!$C$4:$U$146,14,FALSE)</f>
        <v>x</v>
      </c>
      <c r="BB8" s="135" t="str">
        <f>VLOOKUP(A8,'Main Data File'!$C$4:$U$146,15,FALSE)</f>
        <v>x</v>
      </c>
    </row>
    <row r="9" spans="1:54" ht="54" customHeight="1">
      <c r="A9" s="16" t="s">
        <v>81</v>
      </c>
      <c r="B9" s="16" t="str">
        <f>VLOOKUP(A9,'Main Data File'!$C$4:$U$146,19,FALSE)</f>
        <v>Andy</v>
      </c>
      <c r="C9" s="16"/>
      <c r="D9" s="16"/>
      <c r="E9" s="129"/>
      <c r="F9" s="129" t="s">
        <v>736</v>
      </c>
      <c r="G9" s="130" t="str">
        <f>VLOOKUP(A9,'Main Data File'!$C$4:$U$146,17,FALSE)</f>
        <v>C1740CH</v>
      </c>
      <c r="H9" s="129"/>
      <c r="I9" s="12" t="str">
        <f>VLOOKUP(A9,'Main Data File'!$C$4:$U$146,2,FALSE)</f>
        <v>3S-8HC Stem For Delta/Delex With Seat and Spring</v>
      </c>
      <c r="J9" s="12" t="str">
        <f>VLOOKUP(A9,'Main Data File'!$C$4:$U$146,18,FALSE)</f>
        <v>Use back of World and Main card</v>
      </c>
      <c r="K9" s="129" t="s">
        <v>71</v>
      </c>
      <c r="L9" s="129"/>
      <c r="M9" s="129"/>
      <c r="N9" s="129"/>
      <c r="O9" s="129">
        <f>VLOOKUP(A9,'Main Data File'!$C$4:$U$146,3,FALSE)</f>
        <v>5.7</v>
      </c>
      <c r="P9" s="129">
        <f>VLOOKUP(A9,'Main Data File'!$C$4:$U$146,5,FALSE)</f>
        <v>1.5</v>
      </c>
      <c r="Q9" s="129">
        <f>VLOOKUP(A9,'Main Data File'!$C$4:$U$146,4,FALSE)</f>
        <v>3.65</v>
      </c>
      <c r="R9" s="129">
        <f>VLOOKUP(A9,'Main Data File'!$C$4:$U$146,6,FALSE)</f>
        <v>7.0000000000000007E-2</v>
      </c>
      <c r="S9" s="131">
        <f>VLOOKUP(A9,'Main Data File'!$C$4:$U$146,7,FALSE)</f>
        <v>1.8059895833333332E-2</v>
      </c>
      <c r="T9" s="129" t="str">
        <f>VLOOKUP(A9,'Main Data File'!$C$4:$U$146,8,FALSE)</f>
        <v>Heat Formed Plastic</v>
      </c>
      <c r="U9" s="129"/>
      <c r="V9" s="129"/>
      <c r="W9" s="129"/>
      <c r="X9" s="129"/>
      <c r="Y9" s="129"/>
      <c r="Z9" s="129"/>
      <c r="AA9" s="129"/>
      <c r="AB9" s="129"/>
      <c r="AC9" s="129"/>
      <c r="AD9" s="129"/>
      <c r="AE9" s="129"/>
      <c r="AF9" s="129"/>
      <c r="AG9" s="129"/>
      <c r="AH9" s="129"/>
      <c r="AI9" s="129"/>
      <c r="AJ9" s="129"/>
      <c r="AK9" s="129"/>
      <c r="AL9" s="129"/>
      <c r="AM9" s="129"/>
      <c r="AN9" s="129"/>
      <c r="AO9" s="129"/>
      <c r="AP9" s="10"/>
      <c r="AQ9" s="132">
        <f>VLOOKUP(A9,'Main Data File'!$C$4:$U$146,10,FALSE)</f>
        <v>17150</v>
      </c>
      <c r="AR9" s="133" t="e">
        <f>VLOOKUP(A9,#REF!,44,FALSE)</f>
        <v>#REF!</v>
      </c>
      <c r="AS9" s="133" t="e">
        <f>VLOOKUP(A9,#REF!,24,FALSE)</f>
        <v>#REF!</v>
      </c>
      <c r="AT9" s="129"/>
      <c r="AU9" s="134" t="e">
        <f t="shared" si="0"/>
        <v>#REF!</v>
      </c>
      <c r="AV9" s="139"/>
      <c r="AW9" s="133" t="e">
        <f>VLOOKUP(A9,#REF!,25,FALSE)</f>
        <v>#REF!</v>
      </c>
      <c r="AX9" s="133" t="str">
        <f>VLOOKUP(A9,'Lowe''s final SKU list'!$C$2:$Q$99,2,FALSE)</f>
        <v>YES</v>
      </c>
      <c r="AY9" s="135" t="str">
        <f>VLOOKUP(A9,'Main Data File'!$C$4:$U$146,16,FALSE)</f>
        <v>x</v>
      </c>
      <c r="AZ9" s="135" t="str">
        <f>VLOOKUP(A9,'Main Data File'!$C$4:$U$146,13,FALSE)</f>
        <v>x</v>
      </c>
      <c r="BA9" s="135" t="str">
        <f>VLOOKUP(A9,'Main Data File'!$C$4:$U$146,14,FALSE)</f>
        <v>x</v>
      </c>
      <c r="BB9" s="135" t="str">
        <f>VLOOKUP(A9,'Main Data File'!$C$4:$U$146,15,FALSE)</f>
        <v>x</v>
      </c>
    </row>
    <row r="10" spans="1:54" ht="54" customHeight="1">
      <c r="A10" s="16" t="s">
        <v>83</v>
      </c>
      <c r="B10" s="16" t="str">
        <f>VLOOKUP(A10,'Main Data File'!$C$4:$U$146,19,FALSE)</f>
        <v>Boyd</v>
      </c>
      <c r="C10" s="16"/>
      <c r="D10" s="16"/>
      <c r="E10" s="129"/>
      <c r="F10" s="129" t="s">
        <v>84</v>
      </c>
      <c r="G10" s="130" t="str">
        <f>VLOOKUP(A10,'Main Data File'!$C$4:$U$146,17,FALSE)</f>
        <v>RV-307C</v>
      </c>
      <c r="H10" s="129"/>
      <c r="I10" s="12" t="str">
        <f>VLOOKUP(A10,'Main Data File'!$C$4:$U$146,2,FALSE)</f>
        <v>30 Amp Plug Adapter</v>
      </c>
      <c r="J10" s="12" t="str">
        <f>VLOOKUP(A10,'Main Data File'!$C$4:$U$146,18,FALSE)</f>
        <v>Modify USH instructions</v>
      </c>
      <c r="K10" s="129" t="s">
        <v>71</v>
      </c>
      <c r="L10" s="129"/>
      <c r="M10" s="129"/>
      <c r="N10" s="129"/>
      <c r="O10" s="129">
        <f>VLOOKUP(A10,'Main Data File'!$C$4:$U$146,3,FALSE)</f>
        <v>5.7</v>
      </c>
      <c r="P10" s="129">
        <f>VLOOKUP(A10,'Main Data File'!$C$4:$U$146,5,FALSE)</f>
        <v>2</v>
      </c>
      <c r="Q10" s="129">
        <f>VLOOKUP(A10,'Main Data File'!$C$4:$U$146,4,FALSE)</f>
        <v>3.65</v>
      </c>
      <c r="R10" s="129">
        <f>VLOOKUP(A10,'Main Data File'!$C$4:$U$146,6,FALSE)</f>
        <v>0.1</v>
      </c>
      <c r="S10" s="131">
        <f>VLOOKUP(A10,'Main Data File'!$C$4:$U$146,7,FALSE)</f>
        <v>2.4079861111111111E-2</v>
      </c>
      <c r="T10" s="129" t="str">
        <f>VLOOKUP(A10,'Main Data File'!$C$4:$U$146,8,FALSE)</f>
        <v>Heat Formed Plastic</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0"/>
      <c r="AQ10" s="132">
        <f>VLOOKUP(A10,'Main Data File'!$C$4:$U$146,10,FALSE)</f>
        <v>28782</v>
      </c>
      <c r="AR10" s="133" t="e">
        <f>VLOOKUP(A10,#REF!,44,FALSE)</f>
        <v>#REF!</v>
      </c>
      <c r="AS10" s="133" t="e">
        <f>VLOOKUP(A10,#REF!,24,FALSE)</f>
        <v>#REF!</v>
      </c>
      <c r="AT10" s="129"/>
      <c r="AU10" s="134" t="e">
        <f t="shared" si="0"/>
        <v>#REF!</v>
      </c>
      <c r="AV10" s="139"/>
      <c r="AW10" s="133" t="e">
        <f>VLOOKUP(A10,#REF!,25,FALSE)</f>
        <v>#REF!</v>
      </c>
      <c r="AX10" s="133" t="str">
        <f>VLOOKUP(A10,'Lowe''s final SKU list'!$C$2:$Q$99,2,FALSE)</f>
        <v>YES</v>
      </c>
      <c r="AY10" s="135" t="str">
        <f>VLOOKUP(A10,'Main Data File'!$C$4:$U$146,16,FALSE)</f>
        <v>x</v>
      </c>
      <c r="AZ10" s="135" t="str">
        <f>VLOOKUP(A10,'Main Data File'!$C$4:$U$146,13,FALSE)</f>
        <v>x</v>
      </c>
      <c r="BA10" s="135">
        <f>VLOOKUP(A10,'Main Data File'!$C$4:$U$146,14,FALSE)</f>
        <v>0</v>
      </c>
      <c r="BB10" s="135" t="str">
        <f>VLOOKUP(A10,'Main Data File'!$C$4:$U$146,15,FALSE)</f>
        <v>x</v>
      </c>
    </row>
    <row r="11" spans="1:54" ht="54" customHeight="1">
      <c r="A11" s="16" t="s">
        <v>86</v>
      </c>
      <c r="B11" s="16" t="str">
        <f>VLOOKUP(A11,'Main Data File'!$C$4:$U$146,19,FALSE)</f>
        <v>Andy</v>
      </c>
      <c r="C11" s="16" t="s">
        <v>75</v>
      </c>
      <c r="D11" s="16" t="s">
        <v>76</v>
      </c>
      <c r="E11" s="129"/>
      <c r="F11" s="129" t="s">
        <v>87</v>
      </c>
      <c r="G11" s="130" t="str">
        <f>VLOOKUP(A11,'Main Data File'!$C$4:$U$146,17,FALSE)</f>
        <v>P-081C</v>
      </c>
      <c r="H11" s="129"/>
      <c r="I11" s="12" t="str">
        <f>VLOOKUP(A11,'Main Data File'!$C$4:$U$146,2,FALSE)</f>
        <v>ABS Trap Adapter 1-1/2" Sp x FPT Swivel</v>
      </c>
      <c r="J11" s="169" t="str">
        <f>VLOOKUP(A11,'Main Data File'!$C$4:$U$146,18,FALSE)</f>
        <v>Done.  Item is in Menards.</v>
      </c>
      <c r="K11" s="129" t="s">
        <v>71</v>
      </c>
      <c r="L11" s="129"/>
      <c r="M11" s="129"/>
      <c r="N11" s="129"/>
      <c r="O11" s="129">
        <f>VLOOKUP(A11,'Main Data File'!$C$4:$U$146,3,FALSE)</f>
        <v>5.7</v>
      </c>
      <c r="P11" s="129">
        <f>VLOOKUP(A11,'Main Data File'!$C$4:$U$146,5,FALSE)</f>
        <v>3</v>
      </c>
      <c r="Q11" s="129">
        <f>VLOOKUP(A11,'Main Data File'!$C$4:$U$146,4,FALSE)</f>
        <v>3.65</v>
      </c>
      <c r="R11" s="129">
        <f>VLOOKUP(A11,'Main Data File'!$C$4:$U$146,6,FALSE)</f>
        <v>0.33</v>
      </c>
      <c r="S11" s="131">
        <f>VLOOKUP(A11,'Main Data File'!$C$4:$U$146,7,FALSE)</f>
        <v>3.6119791666666665E-2</v>
      </c>
      <c r="T11" s="129" t="str">
        <f>VLOOKUP(A11,'Main Data File'!$C$4:$U$146,8,FALSE)</f>
        <v>Heat Formed Plastic</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0"/>
      <c r="AQ11" s="132">
        <f>VLOOKUP(A11,'Main Data File'!$C$4:$U$146,10,FALSE)</f>
        <v>2800</v>
      </c>
      <c r="AR11" s="133" t="e">
        <f>VLOOKUP(A11,#REF!,44,FALSE)</f>
        <v>#REF!</v>
      </c>
      <c r="AS11" s="133" t="e">
        <f>VLOOKUP(A11,#REF!,24,FALSE)</f>
        <v>#REF!</v>
      </c>
      <c r="AT11" s="129"/>
      <c r="AU11" s="134" t="e">
        <f t="shared" si="0"/>
        <v>#REF!</v>
      </c>
      <c r="AV11" s="139"/>
      <c r="AW11" s="133" t="e">
        <f>VLOOKUP(A11,#REF!,25,FALSE)</f>
        <v>#REF!</v>
      </c>
      <c r="AX11" s="133" t="str">
        <f>VLOOKUP(A11,'Lowe''s final SKU list'!$C$2:$Q$99,2,FALSE)</f>
        <v>YES</v>
      </c>
      <c r="AY11" s="135" t="str">
        <f>VLOOKUP(A11,'Main Data File'!$C$4:$U$146,16,FALSE)</f>
        <v>x</v>
      </c>
      <c r="AZ11" s="135" t="str">
        <f>VLOOKUP(A11,'Main Data File'!$C$4:$U$146,13,FALSE)</f>
        <v>if space</v>
      </c>
      <c r="BA11" s="135" t="str">
        <f>VLOOKUP(A11,'Main Data File'!$C$4:$U$146,14,FALSE)</f>
        <v>x</v>
      </c>
      <c r="BB11" s="135" t="str">
        <f>VLOOKUP(A11,'Main Data File'!$C$4:$U$146,15,FALSE)</f>
        <v>x</v>
      </c>
    </row>
    <row r="12" spans="1:54" ht="54" customHeight="1">
      <c r="A12" s="16" t="s">
        <v>89</v>
      </c>
      <c r="B12" s="16" t="str">
        <f>VLOOKUP(A12,'Main Data File'!$C$4:$U$146,19,FALSE)</f>
        <v>Boyd</v>
      </c>
      <c r="C12" s="16"/>
      <c r="D12" s="16"/>
      <c r="E12" s="129"/>
      <c r="F12" s="129" t="s">
        <v>737</v>
      </c>
      <c r="G12" s="130" t="str">
        <f>VLOOKUP(A12,'Main Data File'!$C$4:$U$146,17,FALSE)</f>
        <v>RV-488C</v>
      </c>
      <c r="H12" s="129"/>
      <c r="I12" s="12" t="str">
        <f>VLOOKUP(A12,'Main Data File'!$C$4:$U$146,2,FALSE)</f>
        <v>7-Way Trailer-End Electrical Connector</v>
      </c>
      <c r="J12" s="12" t="str">
        <f>VLOOKUP(A12,'Main Data File'!$C$4:$U$146,18,FALSE)</f>
        <v>Modify USH instructions</v>
      </c>
      <c r="K12" s="129" t="s">
        <v>71</v>
      </c>
      <c r="L12" s="129"/>
      <c r="M12" s="129"/>
      <c r="N12" s="129"/>
      <c r="O12" s="129">
        <f>VLOOKUP(A12,'Main Data File'!$C$4:$U$146,3,FALSE)</f>
        <v>6.5</v>
      </c>
      <c r="P12" s="129">
        <f>VLOOKUP(A12,'Main Data File'!$C$4:$U$146,5,FALSE)</f>
        <v>2.25</v>
      </c>
      <c r="Q12" s="129">
        <f>VLOOKUP(A12,'Main Data File'!$C$4:$U$146,4,FALSE)</f>
        <v>3.65</v>
      </c>
      <c r="R12" s="129">
        <f>VLOOKUP(A12,'Main Data File'!$C$4:$U$146,6,FALSE)</f>
        <v>0.13</v>
      </c>
      <c r="S12" s="131">
        <f>VLOOKUP(A12,'Main Data File'!$C$4:$U$146,7,FALSE)</f>
        <v>3.0891927083333329E-2</v>
      </c>
      <c r="T12" s="129" t="str">
        <f>VLOOKUP(A12,'Main Data File'!$C$4:$U$146,8,FALSE)</f>
        <v>Heat Formed Plastic</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0"/>
      <c r="AQ12" s="132">
        <f>VLOOKUP(A12,'Main Data File'!$C$4:$U$146,10,FALSE)</f>
        <v>11193</v>
      </c>
      <c r="AR12" s="133" t="e">
        <f>VLOOKUP(A12,#REF!,44,FALSE)</f>
        <v>#REF!</v>
      </c>
      <c r="AS12" s="133" t="e">
        <f>VLOOKUP(A12,#REF!,24,FALSE)</f>
        <v>#REF!</v>
      </c>
      <c r="AT12" s="129"/>
      <c r="AU12" s="134" t="e">
        <f t="shared" si="0"/>
        <v>#REF!</v>
      </c>
      <c r="AV12" s="139"/>
      <c r="AW12" s="133" t="e">
        <f>VLOOKUP(A12,#REF!,25,FALSE)</f>
        <v>#REF!</v>
      </c>
      <c r="AX12" s="133" t="str">
        <f>VLOOKUP(A12,'Lowe''s final SKU list'!$C$2:$Q$99,2,FALSE)</f>
        <v>YES</v>
      </c>
      <c r="AY12" s="135" t="str">
        <f>VLOOKUP(A12,'Main Data File'!$C$4:$U$146,16,FALSE)</f>
        <v>x</v>
      </c>
      <c r="AZ12" s="135" t="str">
        <f>VLOOKUP(A12,'Main Data File'!$C$4:$U$146,13,FALSE)</f>
        <v>x</v>
      </c>
      <c r="BA12" s="135">
        <f>VLOOKUP(A12,'Main Data File'!$C$4:$U$146,14,FALSE)</f>
        <v>0</v>
      </c>
      <c r="BB12" s="135" t="str">
        <f>VLOOKUP(A12,'Main Data File'!$C$4:$U$146,15,FALSE)</f>
        <v>x</v>
      </c>
    </row>
    <row r="13" spans="1:54" ht="54" customHeight="1">
      <c r="A13" s="16" t="s">
        <v>90</v>
      </c>
      <c r="B13" s="16" t="str">
        <f>VLOOKUP(A13,'Main Data File'!$C$4:$U$146,19,FALSE)</f>
        <v>Boyd</v>
      </c>
      <c r="C13" s="16"/>
      <c r="D13" s="16"/>
      <c r="E13" s="129"/>
      <c r="F13" s="129" t="s">
        <v>738</v>
      </c>
      <c r="G13" s="130" t="str">
        <f>VLOOKUP(A13,'Main Data File'!$C$4:$U$146,17,FALSE)</f>
        <v>RV-490B</v>
      </c>
      <c r="H13" s="129"/>
      <c r="I13" s="12" t="str">
        <f>VLOOKUP(A13,'Main Data File'!$C$4:$U$146,2,FALSE)</f>
        <v>7-Way Car-End Electrical Connector</v>
      </c>
      <c r="J13" s="12" t="str">
        <f>VLOOKUP(A13,'Main Data File'!$C$4:$U$146,18,FALSE)</f>
        <v>Modify USH instructions</v>
      </c>
      <c r="K13" s="129" t="s">
        <v>71</v>
      </c>
      <c r="L13" s="129"/>
      <c r="M13" s="129"/>
      <c r="N13" s="129"/>
      <c r="O13" s="129">
        <f>VLOOKUP(A13,'Main Data File'!$C$4:$U$146,3,FALSE)</f>
        <v>6.5</v>
      </c>
      <c r="P13" s="129">
        <f>VLOOKUP(A13,'Main Data File'!$C$4:$U$146,5,FALSE)</f>
        <v>3</v>
      </c>
      <c r="Q13" s="129">
        <f>VLOOKUP(A13,'Main Data File'!$C$4:$U$146,4,FALSE)</f>
        <v>3.65</v>
      </c>
      <c r="R13" s="129">
        <f>VLOOKUP(A13,'Main Data File'!$C$4:$U$146,6,FALSE)</f>
        <v>0.28000000000000003</v>
      </c>
      <c r="S13" s="131">
        <f>VLOOKUP(A13,'Main Data File'!$C$4:$U$146,7,FALSE)</f>
        <v>4.118923611111111E-2</v>
      </c>
      <c r="T13" s="129" t="str">
        <f>VLOOKUP(A13,'Main Data File'!$C$4:$U$146,8,FALSE)</f>
        <v>Heat Formed Plastic</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0"/>
      <c r="AQ13" s="132">
        <f>VLOOKUP(A13,'Main Data File'!$C$4:$U$146,10,FALSE)</f>
        <v>7995</v>
      </c>
      <c r="AR13" s="133" t="e">
        <f>VLOOKUP(A13,#REF!,44,FALSE)</f>
        <v>#REF!</v>
      </c>
      <c r="AS13" s="133" t="e">
        <f>VLOOKUP(A13,#REF!,24,FALSE)</f>
        <v>#REF!</v>
      </c>
      <c r="AT13" s="129"/>
      <c r="AU13" s="134" t="e">
        <f t="shared" si="0"/>
        <v>#REF!</v>
      </c>
      <c r="AV13" s="139"/>
      <c r="AW13" s="133" t="e">
        <f>VLOOKUP(A13,#REF!,25,FALSE)</f>
        <v>#REF!</v>
      </c>
      <c r="AX13" s="133" t="str">
        <f>VLOOKUP(A13,'Lowe''s final SKU list'!$C$2:$Q$99,2,FALSE)</f>
        <v>YES</v>
      </c>
      <c r="AY13" s="135" t="str">
        <f>VLOOKUP(A13,'Main Data File'!$C$4:$U$146,16,FALSE)</f>
        <v>x</v>
      </c>
      <c r="AZ13" s="135" t="str">
        <f>VLOOKUP(A13,'Main Data File'!$C$4:$U$146,13,FALSE)</f>
        <v>x</v>
      </c>
      <c r="BA13" s="135">
        <f>VLOOKUP(A13,'Main Data File'!$C$4:$U$146,14,FALSE)</f>
        <v>0</v>
      </c>
      <c r="BB13" s="135" t="str">
        <f>VLOOKUP(A13,'Main Data File'!$C$4:$U$146,15,FALSE)</f>
        <v>x</v>
      </c>
    </row>
    <row r="14" spans="1:54" ht="54" hidden="1" customHeight="1">
      <c r="A14" s="16" t="s">
        <v>226</v>
      </c>
      <c r="B14" s="16" t="str">
        <f>VLOOKUP(A14,'Main Data File'!$C$4:$U$146,19,FALSE)</f>
        <v>Boyd</v>
      </c>
      <c r="C14" s="16"/>
      <c r="D14" s="16"/>
      <c r="E14" s="129"/>
      <c r="F14" s="129" t="s">
        <v>739</v>
      </c>
      <c r="G14" s="130" t="str">
        <f>VLOOKUP(A14,'Main Data File'!$C$4:$U$146,17,FALSE)</f>
        <v>RV-1216B</v>
      </c>
      <c r="H14" s="129"/>
      <c r="I14" s="12" t="str">
        <f>VLOOKUP(A14,'Main Data File'!$C$4:$U$146,2,FALSE)</f>
        <v>Light Bulb Frosted 12Volt/75 Watt</v>
      </c>
      <c r="J14" s="12" t="str">
        <f>VLOOKUP(A14,'Main Data File'!$C$4:$U$146,18,FALSE)</f>
        <v>Modify USH instructions</v>
      </c>
      <c r="K14" s="129" t="s">
        <v>71</v>
      </c>
      <c r="L14" s="129"/>
      <c r="M14" s="129"/>
      <c r="N14" s="129"/>
      <c r="O14" s="129">
        <f>VLOOKUP(A14,'Main Data File'!$C$4:$U$146,3,FALSE)</f>
        <v>6.5</v>
      </c>
      <c r="P14" s="129">
        <f>VLOOKUP(A14,'Main Data File'!$C$4:$U$146,5,FALSE)</f>
        <v>2.5</v>
      </c>
      <c r="Q14" s="129">
        <f>VLOOKUP(A14,'Main Data File'!$C$4:$U$146,4,FALSE)</f>
        <v>3.65</v>
      </c>
      <c r="R14" s="129">
        <f>VLOOKUP(A14,'Main Data File'!$C$4:$U$146,6,FALSE)</f>
        <v>0.1</v>
      </c>
      <c r="S14" s="131">
        <f>VLOOKUP(A14,'Main Data File'!$C$4:$U$146,7,FALSE)</f>
        <v>3.4324363425925923E-2</v>
      </c>
      <c r="T14" s="129" t="str">
        <f>VLOOKUP(A14,'Main Data File'!$C$4:$U$146,8,FALSE)</f>
        <v>Heat Formed Plastic</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0"/>
      <c r="AQ14" s="132">
        <f>VLOOKUP(A14,'Main Data File'!$C$4:$U$146,10,FALSE)</f>
        <v>544</v>
      </c>
      <c r="AR14" s="133" t="e">
        <f>VLOOKUP(A14,#REF!,44,FALSE)</f>
        <v>#REF!</v>
      </c>
      <c r="AS14" s="133" t="e">
        <f>VLOOKUP(A14,#REF!,24,FALSE)</f>
        <v>#REF!</v>
      </c>
      <c r="AT14" s="129"/>
      <c r="AU14" s="134" t="e">
        <f t="shared" si="0"/>
        <v>#REF!</v>
      </c>
      <c r="AV14" s="139"/>
      <c r="AW14" s="133" t="e">
        <f>VLOOKUP(A14,#REF!,25,FALSE)</f>
        <v>#REF!</v>
      </c>
      <c r="AX14" s="133" t="e">
        <f>VLOOKUP(A14,'Lowe''s final SKU list'!$C$2:$Q$99,2,FALSE)</f>
        <v>#N/A</v>
      </c>
      <c r="AY14" s="135">
        <f>VLOOKUP(A14,'Main Data File'!$C$4:$U$146,16,FALSE)</f>
        <v>0</v>
      </c>
      <c r="AZ14" s="135">
        <f>VLOOKUP(A14,'Main Data File'!$C$4:$U$146,13,FALSE)</f>
        <v>0</v>
      </c>
      <c r="BA14" s="135">
        <f>VLOOKUP(A14,'Main Data File'!$C$4:$U$146,14,FALSE)</f>
        <v>0</v>
      </c>
      <c r="BB14" s="135">
        <f>VLOOKUP(A14,'Main Data File'!$C$4:$U$146,15,FALSE)</f>
        <v>0</v>
      </c>
    </row>
    <row r="15" spans="1:54" ht="54" hidden="1" customHeight="1">
      <c r="A15" s="16" t="s">
        <v>229</v>
      </c>
      <c r="B15" s="16" t="str">
        <f>VLOOKUP(A15,'Main Data File'!$C$4:$U$146,19,FALSE)</f>
        <v>Boyd</v>
      </c>
      <c r="C15" s="16"/>
      <c r="D15" s="16"/>
      <c r="E15" s="129"/>
      <c r="F15" s="129" t="s">
        <v>740</v>
      </c>
      <c r="G15" s="130" t="str">
        <f>VLOOKUP(A15,'Main Data File'!$C$4:$U$146,17,FALSE)</f>
        <v>RV-1217B</v>
      </c>
      <c r="H15" s="129"/>
      <c r="I15" s="12" t="str">
        <f>VLOOKUP(A15,'Main Data File'!$C$4:$U$146,2,FALSE)</f>
        <v>Light Bulb Frosted 12Vlt/100 Watt</v>
      </c>
      <c r="J15" s="12" t="str">
        <f>VLOOKUP(A15,'Main Data File'!$C$4:$U$146,18,FALSE)</f>
        <v>Modify USH instructions</v>
      </c>
      <c r="K15" s="129" t="s">
        <v>71</v>
      </c>
      <c r="L15" s="129"/>
      <c r="M15" s="129"/>
      <c r="N15" s="129"/>
      <c r="O15" s="129">
        <f>VLOOKUP(A15,'Main Data File'!$C$4:$U$146,3,FALSE)</f>
        <v>6.5</v>
      </c>
      <c r="P15" s="129">
        <f>VLOOKUP(A15,'Main Data File'!$C$4:$U$146,5,FALSE)</f>
        <v>2.5</v>
      </c>
      <c r="Q15" s="129">
        <f>VLOOKUP(A15,'Main Data File'!$C$4:$U$146,4,FALSE)</f>
        <v>3.65</v>
      </c>
      <c r="R15" s="129">
        <f>VLOOKUP(A15,'Main Data File'!$C$4:$U$146,6,FALSE)</f>
        <v>0.1</v>
      </c>
      <c r="S15" s="131">
        <f>VLOOKUP(A15,'Main Data File'!$C$4:$U$146,7,FALSE)</f>
        <v>3.4324363425925923E-2</v>
      </c>
      <c r="T15" s="129" t="str">
        <f>VLOOKUP(A15,'Main Data File'!$C$4:$U$146,8,FALSE)</f>
        <v>Heat Formed Plastic</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0"/>
      <c r="AQ15" s="132">
        <f>VLOOKUP(A15,'Main Data File'!$C$4:$U$146,10,FALSE)</f>
        <v>476</v>
      </c>
      <c r="AR15" s="133" t="e">
        <f>VLOOKUP(A15,#REF!,44,FALSE)</f>
        <v>#REF!</v>
      </c>
      <c r="AS15" s="133" t="e">
        <f>VLOOKUP(A15,#REF!,24,FALSE)</f>
        <v>#REF!</v>
      </c>
      <c r="AT15" s="129"/>
      <c r="AU15" s="134" t="e">
        <f t="shared" si="0"/>
        <v>#REF!</v>
      </c>
      <c r="AV15" s="139"/>
      <c r="AW15" s="133" t="e">
        <f>VLOOKUP(A15,#REF!,25,FALSE)</f>
        <v>#REF!</v>
      </c>
      <c r="AX15" s="133" t="e">
        <f>VLOOKUP(A15,'Lowe''s final SKU list'!$C$2:$Q$99,2,FALSE)</f>
        <v>#N/A</v>
      </c>
      <c r="AY15" s="135">
        <f>VLOOKUP(A15,'Main Data File'!$C$4:$U$146,16,FALSE)</f>
        <v>0</v>
      </c>
      <c r="AZ15" s="135">
        <f>VLOOKUP(A15,'Main Data File'!$C$4:$U$146,13,FALSE)</f>
        <v>0</v>
      </c>
      <c r="BA15" s="135">
        <f>VLOOKUP(A15,'Main Data File'!$C$4:$U$146,14,FALSE)</f>
        <v>0</v>
      </c>
      <c r="BB15" s="135">
        <f>VLOOKUP(A15,'Main Data File'!$C$4:$U$146,15,FALSE)</f>
        <v>0</v>
      </c>
    </row>
    <row r="16" spans="1:54" ht="54" hidden="1" customHeight="1">
      <c r="A16" s="16" t="s">
        <v>232</v>
      </c>
      <c r="B16" s="16" t="str">
        <f>VLOOKUP(A16,'Main Data File'!$C$4:$U$146,19,FALSE)</f>
        <v>Boyd</v>
      </c>
      <c r="C16" s="16"/>
      <c r="D16" s="16"/>
      <c r="E16" s="129"/>
      <c r="F16" s="129" t="s">
        <v>741</v>
      </c>
      <c r="G16" s="130" t="str">
        <f>VLOOKUP(A16,'Main Data File'!$C$4:$U$146,17,FALSE)</f>
        <v>RV-372B</v>
      </c>
      <c r="H16" s="129"/>
      <c r="I16" s="12" t="str">
        <f>VLOOKUP(A16,'Main Data File'!$C$4:$U$146,2,FALSE)</f>
        <v>Light Bulb Frosted 12Volt/25 Watt</v>
      </c>
      <c r="J16" s="12" t="str">
        <f>VLOOKUP(A16,'Main Data File'!$C$4:$U$146,18,FALSE)</f>
        <v>Modify USH instructions</v>
      </c>
      <c r="K16" s="129" t="s">
        <v>71</v>
      </c>
      <c r="L16" s="129"/>
      <c r="M16" s="129"/>
      <c r="N16" s="129"/>
      <c r="O16" s="129">
        <f>VLOOKUP(A16,'Main Data File'!$C$4:$U$146,3,FALSE)</f>
        <v>6.5</v>
      </c>
      <c r="P16" s="129">
        <f>VLOOKUP(A16,'Main Data File'!$C$4:$U$146,5,FALSE)</f>
        <v>2.5</v>
      </c>
      <c r="Q16" s="129">
        <f>VLOOKUP(A16,'Main Data File'!$C$4:$U$146,4,FALSE)</f>
        <v>3.65</v>
      </c>
      <c r="R16" s="129">
        <f>VLOOKUP(A16,'Main Data File'!$C$4:$U$146,6,FALSE)</f>
        <v>0.1</v>
      </c>
      <c r="S16" s="131">
        <f>VLOOKUP(A16,'Main Data File'!$C$4:$U$146,7,FALSE)</f>
        <v>3.4324363425925923E-2</v>
      </c>
      <c r="T16" s="129" t="str">
        <f>VLOOKUP(A16,'Main Data File'!$C$4:$U$146,8,FALSE)</f>
        <v>Heat Formed Plastic</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0"/>
      <c r="AQ16" s="132">
        <f>VLOOKUP(A16,'Main Data File'!$C$4:$U$146,10,FALSE)</f>
        <v>680.00000000000011</v>
      </c>
      <c r="AR16" s="133" t="e">
        <f>VLOOKUP(A16,#REF!,44,FALSE)</f>
        <v>#REF!</v>
      </c>
      <c r="AS16" s="133" t="e">
        <f>VLOOKUP(A16,#REF!,24,FALSE)</f>
        <v>#REF!</v>
      </c>
      <c r="AT16" s="129"/>
      <c r="AU16" s="134" t="e">
        <f t="shared" si="0"/>
        <v>#REF!</v>
      </c>
      <c r="AV16" s="139"/>
      <c r="AW16" s="133" t="e">
        <f>VLOOKUP(A16,#REF!,25,FALSE)</f>
        <v>#REF!</v>
      </c>
      <c r="AX16" s="133" t="e">
        <f>VLOOKUP(A16,'Lowe''s final SKU list'!$C$2:$Q$99,2,FALSE)</f>
        <v>#N/A</v>
      </c>
      <c r="AY16" s="135">
        <f>VLOOKUP(A16,'Main Data File'!$C$4:$U$146,16,FALSE)</f>
        <v>0</v>
      </c>
      <c r="AZ16" s="135">
        <f>VLOOKUP(A16,'Main Data File'!$C$4:$U$146,13,FALSE)</f>
        <v>0</v>
      </c>
      <c r="BA16" s="135">
        <f>VLOOKUP(A16,'Main Data File'!$C$4:$U$146,14,FALSE)</f>
        <v>0</v>
      </c>
      <c r="BB16" s="135">
        <f>VLOOKUP(A16,'Main Data File'!$C$4:$U$146,15,FALSE)</f>
        <v>0</v>
      </c>
    </row>
    <row r="17" spans="1:54" ht="54" hidden="1" customHeight="1">
      <c r="A17" s="16" t="s">
        <v>235</v>
      </c>
      <c r="B17" s="16" t="str">
        <f>VLOOKUP(A17,'Main Data File'!$C$4:$U$146,19,FALSE)</f>
        <v>Boyd</v>
      </c>
      <c r="C17" s="16"/>
      <c r="D17" s="16"/>
      <c r="E17" s="129"/>
      <c r="F17" s="129" t="s">
        <v>742</v>
      </c>
      <c r="G17" s="130" t="str">
        <f>VLOOKUP(A17,'Main Data File'!$C$4:$U$146,17,FALSE)</f>
        <v>RV-373B</v>
      </c>
      <c r="H17" s="129"/>
      <c r="I17" s="12" t="str">
        <f>VLOOKUP(A17,'Main Data File'!$C$4:$U$146,2,FALSE)</f>
        <v>Light Bulb Frosted 12Volt/50 Watt</v>
      </c>
      <c r="J17" s="12" t="str">
        <f>VLOOKUP(A17,'Main Data File'!$C$4:$U$146,18,FALSE)</f>
        <v>Modify USH instructions</v>
      </c>
      <c r="K17" s="129" t="s">
        <v>71</v>
      </c>
      <c r="L17" s="129"/>
      <c r="M17" s="129"/>
      <c r="N17" s="129"/>
      <c r="O17" s="129">
        <f>VLOOKUP(A17,'Main Data File'!$C$4:$U$146,3,FALSE)</f>
        <v>6.5</v>
      </c>
      <c r="P17" s="129">
        <f>VLOOKUP(A17,'Main Data File'!$C$4:$U$146,5,FALSE)</f>
        <v>2.5</v>
      </c>
      <c r="Q17" s="129">
        <f>VLOOKUP(A17,'Main Data File'!$C$4:$U$146,4,FALSE)</f>
        <v>3.65</v>
      </c>
      <c r="R17" s="129">
        <f>VLOOKUP(A17,'Main Data File'!$C$4:$U$146,6,FALSE)</f>
        <v>0.1</v>
      </c>
      <c r="S17" s="131">
        <f>VLOOKUP(A17,'Main Data File'!$C$4:$U$146,7,FALSE)</f>
        <v>3.4324363425925923E-2</v>
      </c>
      <c r="T17" s="129" t="str">
        <f>VLOOKUP(A17,'Main Data File'!$C$4:$U$146,8,FALSE)</f>
        <v>Heat Formed Plastic</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0"/>
      <c r="AQ17" s="132">
        <f>VLOOKUP(A17,'Main Data File'!$C$4:$U$146,10,FALSE)</f>
        <v>680.00000000000011</v>
      </c>
      <c r="AR17" s="133" t="e">
        <f>VLOOKUP(A17,#REF!,44,FALSE)</f>
        <v>#REF!</v>
      </c>
      <c r="AS17" s="133" t="e">
        <f>VLOOKUP(A17,#REF!,24,FALSE)</f>
        <v>#REF!</v>
      </c>
      <c r="AT17" s="129"/>
      <c r="AU17" s="134" t="e">
        <f t="shared" si="0"/>
        <v>#REF!</v>
      </c>
      <c r="AV17" s="139"/>
      <c r="AW17" s="133" t="e">
        <f>VLOOKUP(A17,#REF!,25,FALSE)</f>
        <v>#REF!</v>
      </c>
      <c r="AX17" s="133" t="e">
        <f>VLOOKUP(A17,'Lowe''s final SKU list'!$C$2:$Q$99,2,FALSE)</f>
        <v>#N/A</v>
      </c>
      <c r="AY17" s="135">
        <f>VLOOKUP(A17,'Main Data File'!$C$4:$U$146,16,FALSE)</f>
        <v>0</v>
      </c>
      <c r="AZ17" s="135">
        <f>VLOOKUP(A17,'Main Data File'!$C$4:$U$146,13,FALSE)</f>
        <v>0</v>
      </c>
      <c r="BA17" s="135">
        <f>VLOOKUP(A17,'Main Data File'!$C$4:$U$146,14,FALSE)</f>
        <v>0</v>
      </c>
      <c r="BB17" s="135">
        <f>VLOOKUP(A17,'Main Data File'!$C$4:$U$146,15,FALSE)</f>
        <v>0</v>
      </c>
    </row>
    <row r="18" spans="1:54" ht="54" customHeight="1">
      <c r="A18" s="16" t="s">
        <v>91</v>
      </c>
      <c r="B18" s="16" t="str">
        <f>VLOOKUP(A18,'Main Data File'!$C$4:$U$146,19,FALSE)</f>
        <v>Mike</v>
      </c>
      <c r="C18" s="16"/>
      <c r="D18" s="16"/>
      <c r="E18" s="129"/>
      <c r="F18" s="129" t="s">
        <v>743</v>
      </c>
      <c r="G18" s="130" t="str">
        <f>VLOOKUP(A18,'Main Data File'!$C$4:$U$146,17,FALSE)</f>
        <v>D-090B</v>
      </c>
      <c r="H18" s="129"/>
      <c r="I18" s="12" t="str">
        <f>VLOOKUP(A18,'Main Data File'!$C$4:$U$146,2,FALSE)</f>
        <v>Mobile Home Entry Lock SS</v>
      </c>
      <c r="J18" s="12" t="str">
        <f>VLOOKUP(A18,'Main Data File'!$C$4:$U$146,18,FALSE)</f>
        <v>Use back of World and Main card #1990ML</v>
      </c>
      <c r="K18" s="129" t="s">
        <v>71</v>
      </c>
      <c r="L18" s="129"/>
      <c r="M18" s="129"/>
      <c r="N18" s="129"/>
      <c r="O18" s="129">
        <f>VLOOKUP(A18,'Main Data File'!$C$4:$U$146,3,FALSE)</f>
        <v>8.25</v>
      </c>
      <c r="P18" s="129">
        <f>VLOOKUP(A18,'Main Data File'!$C$4:$U$146,5,FALSE)</f>
        <v>2.5</v>
      </c>
      <c r="Q18" s="129">
        <f>VLOOKUP(A18,'Main Data File'!$C$4:$U$146,4,FALSE)</f>
        <v>5</v>
      </c>
      <c r="R18" s="129">
        <f>VLOOKUP(A18,'Main Data File'!$C$4:$U$146,6,FALSE)</f>
        <v>2.1</v>
      </c>
      <c r="S18" s="131">
        <f>VLOOKUP(A18,'Main Data File'!$C$4:$U$146,7,FALSE)</f>
        <v>5.9678819444444448E-2</v>
      </c>
      <c r="T18" s="129" t="str">
        <f>VLOOKUP(A18,'Main Data File'!$C$4:$U$146,8,FALSE)</f>
        <v>Heat Formed Plastic</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0"/>
      <c r="AQ18" s="132">
        <f>VLOOKUP(A18,'Main Data File'!$C$4:$U$146,10,FALSE)</f>
        <v>2208.0000000000005</v>
      </c>
      <c r="AR18" s="133" t="e">
        <f>VLOOKUP(A18,#REF!,44,FALSE)</f>
        <v>#REF!</v>
      </c>
      <c r="AS18" s="133" t="e">
        <f>VLOOKUP(A18,#REF!,24,FALSE)</f>
        <v>#REF!</v>
      </c>
      <c r="AT18" s="129"/>
      <c r="AU18" s="134" t="e">
        <f t="shared" si="0"/>
        <v>#REF!</v>
      </c>
      <c r="AV18" s="139"/>
      <c r="AW18" s="133" t="e">
        <f>VLOOKUP(A18,#REF!,25,FALSE)</f>
        <v>#REF!</v>
      </c>
      <c r="AX18" s="133" t="str">
        <f>VLOOKUP(A18,'Lowe''s final SKU list'!$C$2:$Q$99,2,FALSE)</f>
        <v>YES</v>
      </c>
      <c r="AY18" s="135" t="str">
        <f>VLOOKUP(A18,'Main Data File'!$C$4:$U$146,16,FALSE)</f>
        <v>x</v>
      </c>
      <c r="AZ18" s="135">
        <f>VLOOKUP(A18,'Main Data File'!$C$4:$U$146,13,FALSE)</f>
        <v>0</v>
      </c>
      <c r="BA18" s="135" t="str">
        <f>VLOOKUP(A18,'Main Data File'!$C$4:$U$146,14,FALSE)</f>
        <v>x</v>
      </c>
      <c r="BB18" s="135">
        <f>VLOOKUP(A18,'Main Data File'!$C$4:$U$146,15,FALSE)</f>
        <v>0</v>
      </c>
    </row>
    <row r="19" spans="1:54" ht="54" hidden="1" customHeight="1">
      <c r="A19" s="16" t="s">
        <v>242</v>
      </c>
      <c r="B19" s="16" t="str">
        <f>VLOOKUP(A19,'Main Data File'!$C$4:$U$146,19,FALSE)</f>
        <v>Mike</v>
      </c>
      <c r="C19" s="16"/>
      <c r="D19" s="16"/>
      <c r="E19" s="129"/>
      <c r="F19" s="129" t="s">
        <v>744</v>
      </c>
      <c r="G19" s="130" t="str">
        <f>VLOOKUP(A19,'Main Data File'!$C$4:$U$146,17,FALSE)</f>
        <v>D-099B</v>
      </c>
      <c r="H19" s="129"/>
      <c r="I19" s="12" t="str">
        <f>VLOOKUP(A19,'Main Data File'!$C$4:$U$146,2,FALSE)</f>
        <v>Mobile Home Entry Lock Brass</v>
      </c>
      <c r="J19" s="12" t="str">
        <f>VLOOKUP(A19,'Main Data File'!$C$4:$U$146,18,FALSE)</f>
        <v>Use back of World and Main card #1990ML</v>
      </c>
      <c r="K19" s="129" t="s">
        <v>71</v>
      </c>
      <c r="L19" s="129"/>
      <c r="M19" s="129"/>
      <c r="N19" s="129"/>
      <c r="O19" s="129">
        <f>VLOOKUP(A19,'Main Data File'!$C$4:$U$146,3,FALSE)</f>
        <v>8.25</v>
      </c>
      <c r="P19" s="129">
        <f>VLOOKUP(A19,'Main Data File'!$C$4:$U$146,5,FALSE)</f>
        <v>2.5</v>
      </c>
      <c r="Q19" s="129">
        <f>VLOOKUP(A19,'Main Data File'!$C$4:$U$146,4,FALSE)</f>
        <v>5</v>
      </c>
      <c r="R19" s="129">
        <f>VLOOKUP(A19,'Main Data File'!$C$4:$U$146,6,FALSE)</f>
        <v>2.1</v>
      </c>
      <c r="S19" s="131">
        <f>VLOOKUP(A19,'Main Data File'!$C$4:$U$146,7,FALSE)</f>
        <v>5.9678819444444448E-2</v>
      </c>
      <c r="T19" s="129" t="str">
        <f>VLOOKUP(A19,'Main Data File'!$C$4:$U$146,8,FALSE)</f>
        <v>Heat Formed Plastic</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0"/>
      <c r="AQ19" s="132">
        <f>VLOOKUP(A19,'Main Data File'!$C$4:$U$146,10,FALSE)</f>
        <v>476</v>
      </c>
      <c r="AR19" s="133" t="e">
        <f>VLOOKUP(A19,#REF!,44,FALSE)</f>
        <v>#REF!</v>
      </c>
      <c r="AS19" s="133" t="e">
        <f>VLOOKUP(A19,#REF!,24,FALSE)</f>
        <v>#REF!</v>
      </c>
      <c r="AT19" s="129"/>
      <c r="AU19" s="134" t="e">
        <f t="shared" si="0"/>
        <v>#REF!</v>
      </c>
      <c r="AV19" s="139"/>
      <c r="AW19" s="133" t="e">
        <f>VLOOKUP(A19,#REF!,25,FALSE)</f>
        <v>#REF!</v>
      </c>
      <c r="AX19" s="133" t="e">
        <f>VLOOKUP(A19,'Lowe''s final SKU list'!$C$2:$Q$99,2,FALSE)</f>
        <v>#N/A</v>
      </c>
      <c r="AY19" s="135" t="str">
        <f>VLOOKUP(A19,'Main Data File'!$C$4:$U$146,16,FALSE)</f>
        <v>x</v>
      </c>
      <c r="AZ19" s="135">
        <f>VLOOKUP(A19,'Main Data File'!$C$4:$U$146,13,FALSE)</f>
        <v>0</v>
      </c>
      <c r="BA19" s="135">
        <f>VLOOKUP(A19,'Main Data File'!$C$4:$U$146,14,FALSE)</f>
        <v>0</v>
      </c>
      <c r="BB19" s="135">
        <f>VLOOKUP(A19,'Main Data File'!$C$4:$U$146,15,FALSE)</f>
        <v>0</v>
      </c>
    </row>
    <row r="20" spans="1:54" ht="54" hidden="1" customHeight="1">
      <c r="A20" s="16" t="s">
        <v>245</v>
      </c>
      <c r="B20" s="16" t="str">
        <f>VLOOKUP(A20,'Main Data File'!$C$4:$U$146,19,FALSE)</f>
        <v>Mike</v>
      </c>
      <c r="C20" s="16"/>
      <c r="D20" s="16"/>
      <c r="E20" s="129"/>
      <c r="F20" s="129" t="s">
        <v>745</v>
      </c>
      <c r="G20" s="130" t="str">
        <f>VLOOKUP(A20,'Main Data File'!$C$4:$U$146,17,FALSE)</f>
        <v>D-138B</v>
      </c>
      <c r="H20" s="129"/>
      <c r="I20" s="12" t="str">
        <f>VLOOKUP(A20,'Main Data File'!$C$4:$U$146,2,FALSE)</f>
        <v>White Rosette 24/Bag W/Screws</v>
      </c>
      <c r="J20" s="12" t="str">
        <f>VLOOKUP(A20,'Main Data File'!$C$4:$U$146,18,FALSE)</f>
        <v>Modify USH instructions</v>
      </c>
      <c r="K20" s="129" t="s">
        <v>71</v>
      </c>
      <c r="L20" s="129"/>
      <c r="M20" s="129"/>
      <c r="N20" s="129"/>
      <c r="O20" s="129">
        <f>VLOOKUP(A20,'Main Data File'!$C$4:$U$146,3,FALSE)</f>
        <v>5</v>
      </c>
      <c r="P20" s="129">
        <f>VLOOKUP(A20,'Main Data File'!$C$4:$U$146,5,FALSE)</f>
        <v>1</v>
      </c>
      <c r="Q20" s="129">
        <f>VLOOKUP(A20,'Main Data File'!$C$4:$U$146,4,FALSE)</f>
        <v>3.5</v>
      </c>
      <c r="R20" s="129">
        <f>VLOOKUP(A20,'Main Data File'!$C$4:$U$146,6,FALSE)</f>
        <v>0.3</v>
      </c>
      <c r="S20" s="131">
        <f>VLOOKUP(A20,'Main Data File'!$C$4:$U$146,7,FALSE)</f>
        <v>1.0127314814814815E-2</v>
      </c>
      <c r="T20" s="129" t="str">
        <f>VLOOKUP(A20,'Main Data File'!$C$4:$U$146,8,FALSE)</f>
        <v>Bagged</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0"/>
      <c r="AQ20" s="132">
        <f>VLOOKUP(A20,'Main Data File'!$C$4:$U$146,10,FALSE)</f>
        <v>476</v>
      </c>
      <c r="AR20" s="133" t="e">
        <f>VLOOKUP(A20,#REF!,44,FALSE)</f>
        <v>#REF!</v>
      </c>
      <c r="AS20" s="133" t="e">
        <f>VLOOKUP(A20,#REF!,24,FALSE)</f>
        <v>#REF!</v>
      </c>
      <c r="AT20" s="129"/>
      <c r="AU20" s="134" t="e">
        <f t="shared" si="0"/>
        <v>#REF!</v>
      </c>
      <c r="AV20" s="139"/>
      <c r="AW20" s="133" t="e">
        <f>VLOOKUP(A20,#REF!,25,FALSE)</f>
        <v>#REF!</v>
      </c>
      <c r="AX20" s="133" t="e">
        <f>VLOOKUP(A20,'Lowe''s final SKU list'!$C$2:$Q$99,2,FALSE)</f>
        <v>#N/A</v>
      </c>
      <c r="AY20" s="135" t="str">
        <f>VLOOKUP(A20,'Main Data File'!$C$4:$U$146,16,FALSE)</f>
        <v>x</v>
      </c>
      <c r="AZ20" s="135">
        <f>VLOOKUP(A20,'Main Data File'!$C$4:$U$146,13,FALSE)</f>
        <v>0</v>
      </c>
      <c r="BA20" s="135">
        <f>VLOOKUP(A20,'Main Data File'!$C$4:$U$146,14,FALSE)</f>
        <v>0</v>
      </c>
      <c r="BB20" s="135">
        <f>VLOOKUP(A20,'Main Data File'!$C$4:$U$146,15,FALSE)</f>
        <v>0</v>
      </c>
    </row>
    <row r="21" spans="1:54" ht="54" hidden="1" customHeight="1">
      <c r="A21" s="16" t="s">
        <v>250</v>
      </c>
      <c r="B21" s="16" t="str">
        <f>VLOOKUP(A21,'Main Data File'!$C$4:$U$146,19,FALSE)</f>
        <v>Mike</v>
      </c>
      <c r="C21" s="16"/>
      <c r="D21" s="16"/>
      <c r="E21" s="129"/>
      <c r="F21" s="129" t="s">
        <v>746</v>
      </c>
      <c r="G21" s="130" t="str">
        <f>VLOOKUP(A21,'Main Data File'!$C$4:$U$146,17,FALSE)</f>
        <v>D-140B</v>
      </c>
      <c r="H21" s="129"/>
      <c r="I21" s="12" t="str">
        <f>VLOOKUP(A21,'Main Data File'!$C$4:$U$146,2,FALSE)</f>
        <v>Clear Rosette 24/Bag W/Screws</v>
      </c>
      <c r="J21" s="12" t="str">
        <f>VLOOKUP(A21,'Main Data File'!$C$4:$U$146,18,FALSE)</f>
        <v>Modify USH instructions</v>
      </c>
      <c r="K21" s="129" t="s">
        <v>71</v>
      </c>
      <c r="L21" s="129"/>
      <c r="M21" s="129"/>
      <c r="N21" s="129"/>
      <c r="O21" s="129">
        <f>VLOOKUP(A21,'Main Data File'!$C$4:$U$146,3,FALSE)</f>
        <v>5.5</v>
      </c>
      <c r="P21" s="129">
        <f>VLOOKUP(A21,'Main Data File'!$C$4:$U$146,5,FALSE)</f>
        <v>1</v>
      </c>
      <c r="Q21" s="129">
        <f>VLOOKUP(A21,'Main Data File'!$C$4:$U$146,4,FALSE)</f>
        <v>3.5</v>
      </c>
      <c r="R21" s="129">
        <f>VLOOKUP(A21,'Main Data File'!$C$4:$U$146,6,FALSE)</f>
        <v>0.3</v>
      </c>
      <c r="S21" s="131">
        <f>VLOOKUP(A21,'Main Data File'!$C$4:$U$146,7,FALSE)</f>
        <v>1.1140046296296295E-2</v>
      </c>
      <c r="T21" s="129" t="str">
        <f>VLOOKUP(A21,'Main Data File'!$C$4:$U$146,8,FALSE)</f>
        <v>Bagged</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0"/>
      <c r="AQ21" s="132">
        <f>VLOOKUP(A21,'Main Data File'!$C$4:$U$146,10,FALSE)</f>
        <v>408</v>
      </c>
      <c r="AR21" s="133" t="e">
        <f>VLOOKUP(A21,#REF!,44,FALSE)</f>
        <v>#REF!</v>
      </c>
      <c r="AS21" s="133" t="e">
        <f>VLOOKUP(A21,#REF!,24,FALSE)</f>
        <v>#REF!</v>
      </c>
      <c r="AT21" s="129"/>
      <c r="AU21" s="134" t="e">
        <f t="shared" si="0"/>
        <v>#REF!</v>
      </c>
      <c r="AV21" s="139"/>
      <c r="AW21" s="133" t="e">
        <f>VLOOKUP(A21,#REF!,25,FALSE)</f>
        <v>#REF!</v>
      </c>
      <c r="AX21" s="133" t="e">
        <f>VLOOKUP(A21,'Lowe''s final SKU list'!$C$2:$Q$99,2,FALSE)</f>
        <v>#N/A</v>
      </c>
      <c r="AY21" s="135" t="str">
        <f>VLOOKUP(A21,'Main Data File'!$C$4:$U$146,16,FALSE)</f>
        <v>x</v>
      </c>
      <c r="AZ21" s="135">
        <f>VLOOKUP(A21,'Main Data File'!$C$4:$U$146,13,FALSE)</f>
        <v>0</v>
      </c>
      <c r="BA21" s="135">
        <f>VLOOKUP(A21,'Main Data File'!$C$4:$U$146,14,FALSE)</f>
        <v>0</v>
      </c>
      <c r="BB21" s="135">
        <f>VLOOKUP(A21,'Main Data File'!$C$4:$U$146,15,FALSE)</f>
        <v>0</v>
      </c>
    </row>
    <row r="22" spans="1:54" ht="54" customHeight="1">
      <c r="A22" s="16" t="s">
        <v>94</v>
      </c>
      <c r="B22" s="16" t="str">
        <f>VLOOKUP(A22,'Main Data File'!$C$4:$U$146,19,FALSE)</f>
        <v>Mike</v>
      </c>
      <c r="C22" s="16"/>
      <c r="D22" s="16"/>
      <c r="E22" s="129"/>
      <c r="F22" s="129" t="s">
        <v>95</v>
      </c>
      <c r="G22" s="130" t="str">
        <f>VLOOKUP(A22,'Main Data File'!$C$4:$U$146,17,FALSE)</f>
        <v>D-138C</v>
      </c>
      <c r="H22" s="129"/>
      <c r="I22" s="12" t="str">
        <f>VLOOKUP(A22,'Main Data File'!$C$4:$U$146,2,FALSE)</f>
        <v>White Rosette 6/Card W/Screws</v>
      </c>
      <c r="J22" s="12" t="str">
        <f>VLOOKUP(A22,'Main Data File'!$C$4:$U$146,18,FALSE)</f>
        <v>Modify USH instructions</v>
      </c>
      <c r="K22" s="129" t="s">
        <v>71</v>
      </c>
      <c r="L22" s="129"/>
      <c r="M22" s="129"/>
      <c r="N22" s="129"/>
      <c r="O22" s="129">
        <f>VLOOKUP(A22,'Main Data File'!$C$4:$U$146,3,FALSE)</f>
        <v>5.7</v>
      </c>
      <c r="P22" s="129">
        <f>VLOOKUP(A22,'Main Data File'!$C$4:$U$146,5,FALSE)</f>
        <v>0.3</v>
      </c>
      <c r="Q22" s="129">
        <f>VLOOKUP(A22,'Main Data File'!$C$4:$U$146,4,FALSE)</f>
        <v>3.65</v>
      </c>
      <c r="R22" s="129">
        <f>VLOOKUP(A22,'Main Data File'!$C$4:$U$146,6,FALSE)</f>
        <v>0.1</v>
      </c>
      <c r="S22" s="131">
        <f>VLOOKUP(A22,'Main Data File'!$C$4:$U$146,7,FALSE)</f>
        <v>3.6119791666666661E-3</v>
      </c>
      <c r="T22" s="129" t="str">
        <f>VLOOKUP(A22,'Main Data File'!$C$4:$U$146,8,FALSE)</f>
        <v>Heat Formed Plastic</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0"/>
      <c r="AQ22" s="132">
        <f>VLOOKUP(A22,'Main Data File'!$C$4:$U$146,10,FALSE)</f>
        <v>17150</v>
      </c>
      <c r="AR22" s="133" t="e">
        <f>VLOOKUP(A22,#REF!,44,FALSE)</f>
        <v>#REF!</v>
      </c>
      <c r="AS22" s="133" t="e">
        <f>VLOOKUP(A22,#REF!,24,FALSE)</f>
        <v>#REF!</v>
      </c>
      <c r="AT22" s="129"/>
      <c r="AU22" s="134" t="e">
        <f t="shared" si="0"/>
        <v>#REF!</v>
      </c>
      <c r="AV22" s="139"/>
      <c r="AW22" s="133" t="e">
        <f>VLOOKUP(A22,#REF!,25,FALSE)</f>
        <v>#REF!</v>
      </c>
      <c r="AX22" s="133" t="str">
        <f>VLOOKUP(A22,'Lowe''s final SKU list'!$C$2:$Q$99,2,FALSE)</f>
        <v>YES</v>
      </c>
      <c r="AY22" s="135" t="str">
        <f>VLOOKUP(A22,'Main Data File'!$C$4:$U$146,16,FALSE)</f>
        <v>x</v>
      </c>
      <c r="AZ22" s="135" t="str">
        <f>VLOOKUP(A22,'Main Data File'!$C$4:$U$146,13,FALSE)</f>
        <v>x</v>
      </c>
      <c r="BA22" s="135" t="str">
        <f>VLOOKUP(A22,'Main Data File'!$C$4:$U$146,14,FALSE)</f>
        <v>x</v>
      </c>
      <c r="BB22" s="135" t="str">
        <f>VLOOKUP(A22,'Main Data File'!$C$4:$U$146,15,FALSE)</f>
        <v>x</v>
      </c>
    </row>
    <row r="23" spans="1:54" ht="54" customHeight="1">
      <c r="A23" s="16" t="s">
        <v>97</v>
      </c>
      <c r="B23" s="16" t="str">
        <f>VLOOKUP(A23,'Main Data File'!$C$4:$U$146,19,FALSE)</f>
        <v>Mike</v>
      </c>
      <c r="C23" s="16"/>
      <c r="D23" s="16"/>
      <c r="E23" s="129"/>
      <c r="F23" s="129" t="s">
        <v>747</v>
      </c>
      <c r="G23" s="130" t="str">
        <f>VLOOKUP(A23,'Main Data File'!$C$4:$U$146,17,FALSE)</f>
        <v>D-113B</v>
      </c>
      <c r="H23" s="129"/>
      <c r="I23" s="12" t="str">
        <f>VLOOKUP(A23,'Main Data File'!$C$4:$U$146,2,FALSE)</f>
        <v>Single Cylinder Deadbolt Mobile Home SS</v>
      </c>
      <c r="J23" s="12" t="str">
        <f>VLOOKUP(A23,'Main Data File'!$C$4:$U$146,18,FALSE)</f>
        <v>Use back of World and Main card #281ML</v>
      </c>
      <c r="K23" s="129" t="s">
        <v>71</v>
      </c>
      <c r="L23" s="129"/>
      <c r="M23" s="129"/>
      <c r="N23" s="129"/>
      <c r="O23" s="129">
        <f>VLOOKUP(A23,'Main Data File'!$C$4:$U$146,3,FALSE)</f>
        <v>7</v>
      </c>
      <c r="P23" s="129">
        <f>VLOOKUP(A23,'Main Data File'!$C$4:$U$146,5,FALSE)</f>
        <v>2.5</v>
      </c>
      <c r="Q23" s="129">
        <f>VLOOKUP(A23,'Main Data File'!$C$4:$U$146,4,FALSE)</f>
        <v>4.75</v>
      </c>
      <c r="R23" s="129">
        <f>VLOOKUP(A23,'Main Data File'!$C$4:$U$146,6,FALSE)</f>
        <v>1.4</v>
      </c>
      <c r="S23" s="131">
        <f>VLOOKUP(A23,'Main Data File'!$C$4:$U$146,7,FALSE)</f>
        <v>4.8104745370370371E-2</v>
      </c>
      <c r="T23" s="129" t="str">
        <f>VLOOKUP(A23,'Main Data File'!$C$4:$U$146,8,FALSE)</f>
        <v>Heat Formed Plastic</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0"/>
      <c r="AQ23" s="132">
        <f>VLOOKUP(A23,'Main Data File'!$C$4:$U$146,10,FALSE)</f>
        <v>1104.0000000000002</v>
      </c>
      <c r="AR23" s="133" t="e">
        <f>VLOOKUP(A23,#REF!,44,FALSE)</f>
        <v>#REF!</v>
      </c>
      <c r="AS23" s="133" t="e">
        <f>VLOOKUP(A23,#REF!,24,FALSE)</f>
        <v>#REF!</v>
      </c>
      <c r="AT23" s="129"/>
      <c r="AU23" s="134" t="e">
        <f t="shared" si="0"/>
        <v>#REF!</v>
      </c>
      <c r="AV23" s="139"/>
      <c r="AW23" s="133" t="e">
        <f>VLOOKUP(A23,#REF!,25,FALSE)</f>
        <v>#REF!</v>
      </c>
      <c r="AX23" s="133" t="str">
        <f>VLOOKUP(A23,'Lowe''s final SKU list'!$C$2:$Q$99,2,FALSE)</f>
        <v>YES</v>
      </c>
      <c r="AY23" s="135" t="str">
        <f>VLOOKUP(A23,'Main Data File'!$C$4:$U$146,16,FALSE)</f>
        <v>x</v>
      </c>
      <c r="AZ23" s="135">
        <f>VLOOKUP(A23,'Main Data File'!$C$4:$U$146,13,FALSE)</f>
        <v>0</v>
      </c>
      <c r="BA23" s="135" t="str">
        <f>VLOOKUP(A23,'Main Data File'!$C$4:$U$146,14,FALSE)</f>
        <v>x</v>
      </c>
      <c r="BB23" s="135">
        <f>VLOOKUP(A23,'Main Data File'!$C$4:$U$146,15,FALSE)</f>
        <v>0</v>
      </c>
    </row>
    <row r="24" spans="1:54" ht="54" hidden="1" customHeight="1">
      <c r="A24" s="16" t="s">
        <v>259</v>
      </c>
      <c r="B24" s="16" t="str">
        <f>VLOOKUP(A24,'Main Data File'!$C$4:$U$146,19,FALSE)</f>
        <v>Mike</v>
      </c>
      <c r="C24" s="16"/>
      <c r="D24" s="16"/>
      <c r="E24" s="129"/>
      <c r="F24" s="129" t="s">
        <v>748</v>
      </c>
      <c r="G24" s="130" t="str">
        <f>VLOOKUP(A24,'Main Data File'!$C$4:$U$146,17,FALSE)</f>
        <v>D-083B</v>
      </c>
      <c r="H24" s="129"/>
      <c r="I24" s="12" t="str">
        <f>VLOOKUP(A24,'Main Data File'!$C$4:$U$146,2,FALSE)</f>
        <v>Single Cylinder Deadbolt Mobile Home PB</v>
      </c>
      <c r="J24" s="12" t="str">
        <f>VLOOKUP(A24,'Main Data File'!$C$4:$U$146,18,FALSE)</f>
        <v>Use back of World and Main card #281ML</v>
      </c>
      <c r="K24" s="129" t="s">
        <v>71</v>
      </c>
      <c r="L24" s="129"/>
      <c r="M24" s="129"/>
      <c r="N24" s="129"/>
      <c r="O24" s="129">
        <f>VLOOKUP(A24,'Main Data File'!$C$4:$U$146,3,FALSE)</f>
        <v>7</v>
      </c>
      <c r="P24" s="129">
        <f>VLOOKUP(A24,'Main Data File'!$C$4:$U$146,5,FALSE)</f>
        <v>2.5</v>
      </c>
      <c r="Q24" s="129">
        <f>VLOOKUP(A24,'Main Data File'!$C$4:$U$146,4,FALSE)</f>
        <v>4.75</v>
      </c>
      <c r="R24" s="129">
        <f>VLOOKUP(A24,'Main Data File'!$C$4:$U$146,6,FALSE)</f>
        <v>1.4</v>
      </c>
      <c r="S24" s="131">
        <f>VLOOKUP(A24,'Main Data File'!$C$4:$U$146,7,FALSE)</f>
        <v>4.8104745370370371E-2</v>
      </c>
      <c r="T24" s="129" t="str">
        <f>VLOOKUP(A24,'Main Data File'!$C$4:$U$146,8,FALSE)</f>
        <v>Heat Formed Plastic</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0"/>
      <c r="AQ24" s="132">
        <f>VLOOKUP(A24,'Main Data File'!$C$4:$U$146,10,FALSE)</f>
        <v>920</v>
      </c>
      <c r="AR24" s="133" t="e">
        <f>VLOOKUP(A24,#REF!,44,FALSE)</f>
        <v>#REF!</v>
      </c>
      <c r="AS24" s="133" t="e">
        <f>VLOOKUP(A24,#REF!,24,FALSE)</f>
        <v>#REF!</v>
      </c>
      <c r="AT24" s="129"/>
      <c r="AU24" s="134" t="e">
        <f t="shared" si="0"/>
        <v>#REF!</v>
      </c>
      <c r="AV24" s="139"/>
      <c r="AW24" s="133" t="e">
        <f>VLOOKUP(A24,#REF!,25,FALSE)</f>
        <v>#REF!</v>
      </c>
      <c r="AX24" s="133" t="e">
        <f>VLOOKUP(A24,'Lowe''s final SKU list'!$C$2:$Q$99,2,FALSE)</f>
        <v>#N/A</v>
      </c>
      <c r="AY24" s="135" t="str">
        <f>VLOOKUP(A24,'Main Data File'!$C$4:$U$146,16,FALSE)</f>
        <v>x</v>
      </c>
      <c r="AZ24" s="135">
        <f>VLOOKUP(A24,'Main Data File'!$C$4:$U$146,13,FALSE)</f>
        <v>0</v>
      </c>
      <c r="BA24" s="135" t="str">
        <f>VLOOKUP(A24,'Main Data File'!$C$4:$U$146,14,FALSE)</f>
        <v>x</v>
      </c>
      <c r="BB24" s="135">
        <f>VLOOKUP(A24,'Main Data File'!$C$4:$U$146,15,FALSE)</f>
        <v>0</v>
      </c>
    </row>
    <row r="25" spans="1:54" ht="54" customHeight="1">
      <c r="A25" s="16" t="s">
        <v>99</v>
      </c>
      <c r="B25" s="16" t="str">
        <f>VLOOKUP(A25,'Main Data File'!$C$4:$U$146,19,FALSE)</f>
        <v>Mike</v>
      </c>
      <c r="C25" s="16"/>
      <c r="D25" s="16"/>
      <c r="E25" s="129"/>
      <c r="F25" s="129" t="s">
        <v>749</v>
      </c>
      <c r="G25" s="130" t="str">
        <f>VLOOKUP(A25,'Main Data File'!$C$4:$U$146,17,FALSE)</f>
        <v>D-600B</v>
      </c>
      <c r="H25" s="129"/>
      <c r="I25" s="12" t="str">
        <f>VLOOKUP(A25,'Main Data File'!$C$4:$U$146,2,FALSE)</f>
        <v>Mobile Home Privacy Lockset PB</v>
      </c>
      <c r="J25" s="12" t="str">
        <f>VLOOKUP(A25,'Main Data File'!$C$4:$U$146,18,FALSE)</f>
        <v>Use back of World and Main card #3007ML</v>
      </c>
      <c r="K25" s="129" t="s">
        <v>71</v>
      </c>
      <c r="L25" s="129"/>
      <c r="M25" s="129"/>
      <c r="N25" s="129"/>
      <c r="O25" s="129">
        <f>VLOOKUP(A25,'Main Data File'!$C$4:$U$146,3,FALSE)</f>
        <v>8.25</v>
      </c>
      <c r="P25" s="129">
        <f>VLOOKUP(A25,'Main Data File'!$C$4:$U$146,5,FALSE)</f>
        <v>2.5</v>
      </c>
      <c r="Q25" s="129">
        <f>VLOOKUP(A25,'Main Data File'!$C$4:$U$146,4,FALSE)</f>
        <v>5</v>
      </c>
      <c r="R25" s="129">
        <f>VLOOKUP(A25,'Main Data File'!$C$4:$U$146,6,FALSE)</f>
        <v>1.4</v>
      </c>
      <c r="S25" s="131">
        <f>VLOOKUP(A25,'Main Data File'!$C$4:$U$146,7,FALSE)</f>
        <v>5.9678819444444448E-2</v>
      </c>
      <c r="T25" s="129" t="str">
        <f>VLOOKUP(A25,'Main Data File'!$C$4:$U$146,8,FALSE)</f>
        <v>Heat Formed Plastic</v>
      </c>
      <c r="U25" s="129"/>
      <c r="V25" s="129"/>
      <c r="W25" s="129"/>
      <c r="X25" s="129"/>
      <c r="Y25" s="129"/>
      <c r="Z25" s="129"/>
      <c r="AA25" s="129"/>
      <c r="AB25" s="129"/>
      <c r="AC25" s="129"/>
      <c r="AD25" s="129"/>
      <c r="AE25" s="129"/>
      <c r="AF25" s="129"/>
      <c r="AG25" s="129"/>
      <c r="AH25" s="129"/>
      <c r="AI25" s="129"/>
      <c r="AJ25" s="129"/>
      <c r="AK25" s="129"/>
      <c r="AL25" s="129"/>
      <c r="AM25" s="129"/>
      <c r="AN25" s="129"/>
      <c r="AO25" s="129"/>
      <c r="AP25" s="10"/>
      <c r="AQ25" s="132">
        <f>VLOOKUP(A25,'Main Data File'!$C$4:$U$146,10,FALSE)</f>
        <v>2208.0000000000005</v>
      </c>
      <c r="AR25" s="133" t="e">
        <f>VLOOKUP(A25,#REF!,44,FALSE)</f>
        <v>#REF!</v>
      </c>
      <c r="AS25" s="133" t="e">
        <f>VLOOKUP(A25,#REF!,24,FALSE)</f>
        <v>#REF!</v>
      </c>
      <c r="AT25" s="129"/>
      <c r="AU25" s="134" t="e">
        <f t="shared" si="0"/>
        <v>#REF!</v>
      </c>
      <c r="AV25" s="139"/>
      <c r="AW25" s="133" t="e">
        <f>VLOOKUP(A25,#REF!,25,FALSE)</f>
        <v>#REF!</v>
      </c>
      <c r="AX25" s="133" t="str">
        <f>VLOOKUP(A25,'Lowe''s final SKU list'!$C$2:$Q$99,2,FALSE)</f>
        <v>YES</v>
      </c>
      <c r="AY25" s="135" t="str">
        <f>VLOOKUP(A25,'Main Data File'!$C$4:$U$146,16,FALSE)</f>
        <v>x</v>
      </c>
      <c r="AZ25" s="135">
        <f>VLOOKUP(A25,'Main Data File'!$C$4:$U$146,13,FALSE)</f>
        <v>0</v>
      </c>
      <c r="BA25" s="135" t="str">
        <f>VLOOKUP(A25,'Main Data File'!$C$4:$U$146,14,FALSE)</f>
        <v>x</v>
      </c>
      <c r="BB25" s="135">
        <f>VLOOKUP(A25,'Main Data File'!$C$4:$U$146,15,FALSE)</f>
        <v>0</v>
      </c>
    </row>
    <row r="26" spans="1:54" ht="54" customHeight="1">
      <c r="A26" s="16" t="s">
        <v>101</v>
      </c>
      <c r="B26" s="16" t="str">
        <f>VLOOKUP(A26,'Main Data File'!$C$4:$U$146,19,FALSE)</f>
        <v>Mike</v>
      </c>
      <c r="C26" s="16"/>
      <c r="D26" s="16"/>
      <c r="E26" s="129"/>
      <c r="F26" s="129" t="s">
        <v>750</v>
      </c>
      <c r="G26" s="130" t="str">
        <f>VLOOKUP(A26,'Main Data File'!$C$4:$U$146,17,FALSE)</f>
        <v>D-601B</v>
      </c>
      <c r="H26" s="129"/>
      <c r="I26" s="12" t="str">
        <f>VLOOKUP(A26,'Main Data File'!$C$4:$U$146,2,FALSE)</f>
        <v>Mobile Home Passage Lockset PB</v>
      </c>
      <c r="J26" s="12" t="str">
        <f>VLOOKUP(A26,'Main Data File'!$C$4:$U$146,18,FALSE)</f>
        <v>Use back of World and Main card #2004ML</v>
      </c>
      <c r="K26" s="129" t="s">
        <v>71</v>
      </c>
      <c r="L26" s="129"/>
      <c r="M26" s="129"/>
      <c r="N26" s="129"/>
      <c r="O26" s="129">
        <f>VLOOKUP(A26,'Main Data File'!$C$4:$U$146,3,FALSE)</f>
        <v>8.25</v>
      </c>
      <c r="P26" s="129">
        <f>VLOOKUP(A26,'Main Data File'!$C$4:$U$146,5,FALSE)</f>
        <v>2.5</v>
      </c>
      <c r="Q26" s="129">
        <f>VLOOKUP(A26,'Main Data File'!$C$4:$U$146,4,FALSE)</f>
        <v>5</v>
      </c>
      <c r="R26" s="129">
        <f>VLOOKUP(A26,'Main Data File'!$C$4:$U$146,6,FALSE)</f>
        <v>1.4</v>
      </c>
      <c r="S26" s="131">
        <f>VLOOKUP(A26,'Main Data File'!$C$4:$U$146,7,FALSE)</f>
        <v>5.9678819444444448E-2</v>
      </c>
      <c r="T26" s="129" t="str">
        <f>VLOOKUP(A26,'Main Data File'!$C$4:$U$146,8,FALSE)</f>
        <v>Heat Formed Plastic</v>
      </c>
      <c r="U26" s="129"/>
      <c r="V26" s="129"/>
      <c r="W26" s="129"/>
      <c r="X26" s="129"/>
      <c r="Y26" s="129"/>
      <c r="Z26" s="129"/>
      <c r="AA26" s="129"/>
      <c r="AB26" s="129"/>
      <c r="AC26" s="129"/>
      <c r="AD26" s="129"/>
      <c r="AE26" s="129"/>
      <c r="AF26" s="129"/>
      <c r="AG26" s="129"/>
      <c r="AH26" s="129"/>
      <c r="AI26" s="129"/>
      <c r="AJ26" s="129"/>
      <c r="AK26" s="129"/>
      <c r="AL26" s="129"/>
      <c r="AM26" s="129"/>
      <c r="AN26" s="129"/>
      <c r="AO26" s="129"/>
      <c r="AP26" s="10"/>
      <c r="AQ26" s="132">
        <f>VLOOKUP(A26,'Main Data File'!$C$4:$U$146,10,FALSE)</f>
        <v>1472.0000000000002</v>
      </c>
      <c r="AR26" s="133" t="e">
        <f>VLOOKUP(A26,#REF!,44,FALSE)</f>
        <v>#REF!</v>
      </c>
      <c r="AS26" s="133" t="e">
        <f>VLOOKUP(A26,#REF!,24,FALSE)</f>
        <v>#REF!</v>
      </c>
      <c r="AT26" s="129"/>
      <c r="AU26" s="134" t="e">
        <f t="shared" si="0"/>
        <v>#REF!</v>
      </c>
      <c r="AV26" s="139"/>
      <c r="AW26" s="133" t="e">
        <f>VLOOKUP(A26,#REF!,25,FALSE)</f>
        <v>#REF!</v>
      </c>
      <c r="AX26" s="133" t="str">
        <f>VLOOKUP(A26,'Lowe''s final SKU list'!$C$2:$Q$99,2,FALSE)</f>
        <v>YES</v>
      </c>
      <c r="AY26" s="135" t="str">
        <f>VLOOKUP(A26,'Main Data File'!$C$4:$U$146,16,FALSE)</f>
        <v>x</v>
      </c>
      <c r="AZ26" s="135">
        <f>VLOOKUP(A26,'Main Data File'!$C$4:$U$146,13,FALSE)</f>
        <v>0</v>
      </c>
      <c r="BA26" s="135" t="str">
        <f>VLOOKUP(A26,'Main Data File'!$C$4:$U$146,14,FALSE)</f>
        <v>x</v>
      </c>
      <c r="BB26" s="135">
        <f>VLOOKUP(A26,'Main Data File'!$C$4:$U$146,15,FALSE)</f>
        <v>0</v>
      </c>
    </row>
    <row r="27" spans="1:54" ht="54" customHeight="1">
      <c r="A27" s="16" t="s">
        <v>103</v>
      </c>
      <c r="B27" s="16" t="str">
        <f>VLOOKUP(A27,'Main Data File'!$C$4:$U$146,19,FALSE)</f>
        <v>Andy</v>
      </c>
      <c r="C27" s="16" t="s">
        <v>75</v>
      </c>
      <c r="D27" s="16" t="s">
        <v>76</v>
      </c>
      <c r="E27" s="129"/>
      <c r="F27" s="129" t="e">
        <v>#N/A</v>
      </c>
      <c r="G27" s="130" t="str">
        <f>VLOOKUP(A27,'Main Data File'!$C$4:$U$146,17,FALSE)</f>
        <v>RVP30</v>
      </c>
      <c r="H27" s="129"/>
      <c r="I27" s="12" t="str">
        <f>VLOOKUP(A27,'Main Data File'!$C$4:$U$146,2,FALSE)</f>
        <v>Spout For Garden Tub Faucet</v>
      </c>
      <c r="J27" s="169" t="str">
        <f>VLOOKUP(A27,'Main Data File'!$C$4:$U$146,18,FALSE)</f>
        <v>Done.  Item is in Menards.</v>
      </c>
      <c r="K27" s="129" t="s">
        <v>71</v>
      </c>
      <c r="L27" s="129"/>
      <c r="M27" s="129"/>
      <c r="N27" s="129"/>
      <c r="O27" s="129">
        <f>VLOOKUP(A27,'Main Data File'!$C$4:$U$146,3,FALSE)</f>
        <v>11.75</v>
      </c>
      <c r="P27" s="129">
        <f>VLOOKUP(A27,'Main Data File'!$C$4:$U$146,5,FALSE)</f>
        <v>2.75</v>
      </c>
      <c r="Q27" s="129">
        <f>VLOOKUP(A27,'Main Data File'!$C$4:$U$146,4,FALSE)</f>
        <v>5.125</v>
      </c>
      <c r="R27" s="129">
        <f>VLOOKUP(A27,'Main Data File'!$C$4:$U$146,6,FALSE)</f>
        <v>0.39</v>
      </c>
      <c r="S27" s="131">
        <f>VLOOKUP(A27,'Main Data File'!$C$4:$U$146,7,FALSE)</f>
        <v>9.5834237557870364E-2</v>
      </c>
      <c r="T27" s="129" t="str">
        <f>VLOOKUP(A27,'Main Data File'!$C$4:$U$146,8,FALSE)</f>
        <v>Heat Formed Plastic</v>
      </c>
      <c r="U27" s="129"/>
      <c r="V27" s="129"/>
      <c r="W27" s="129"/>
      <c r="X27" s="129"/>
      <c r="Y27" s="129"/>
      <c r="Z27" s="129"/>
      <c r="AA27" s="129"/>
      <c r="AB27" s="129"/>
      <c r="AC27" s="129"/>
      <c r="AD27" s="129"/>
      <c r="AE27" s="129"/>
      <c r="AF27" s="129"/>
      <c r="AG27" s="129"/>
      <c r="AH27" s="129"/>
      <c r="AI27" s="129"/>
      <c r="AJ27" s="129"/>
      <c r="AK27" s="129"/>
      <c r="AL27" s="129"/>
      <c r="AM27" s="129"/>
      <c r="AN27" s="129"/>
      <c r="AO27" s="129"/>
      <c r="AP27" s="10"/>
      <c r="AQ27" s="132">
        <f>VLOOKUP(A27,'Main Data File'!$C$4:$U$146,10,FALSE)</f>
        <v>9594</v>
      </c>
      <c r="AR27" s="133" t="e">
        <f>VLOOKUP(A27,#REF!,44,FALSE)</f>
        <v>#REF!</v>
      </c>
      <c r="AS27" s="133" t="e">
        <f>VLOOKUP(A27,#REF!,24,FALSE)</f>
        <v>#REF!</v>
      </c>
      <c r="AT27" s="129"/>
      <c r="AU27" s="134" t="e">
        <f t="shared" si="0"/>
        <v>#REF!</v>
      </c>
      <c r="AV27" s="139"/>
      <c r="AW27" s="133" t="e">
        <f>VLOOKUP(A27,#REF!,25,FALSE)</f>
        <v>#REF!</v>
      </c>
      <c r="AX27" s="133" t="str">
        <f>VLOOKUP(A27,'Lowe''s final SKU list'!$C$2:$Q$99,2,FALSE)</f>
        <v>YES</v>
      </c>
      <c r="AY27" s="135" t="str">
        <f>VLOOKUP(A27,'Main Data File'!$C$4:$U$146,16,FALSE)</f>
        <v>x</v>
      </c>
      <c r="AZ27" s="135" t="str">
        <f>VLOOKUP(A27,'Main Data File'!$C$4:$U$146,13,FALSE)</f>
        <v>x</v>
      </c>
      <c r="BA27" s="135">
        <f>VLOOKUP(A27,'Main Data File'!$C$4:$U$146,14,FALSE)</f>
        <v>0</v>
      </c>
      <c r="BB27" s="135" t="str">
        <f>VLOOKUP(A27,'Main Data File'!$C$4:$U$146,15,FALSE)</f>
        <v>x</v>
      </c>
    </row>
    <row r="28" spans="1:54" ht="42">
      <c r="A28" s="16" t="s">
        <v>105</v>
      </c>
      <c r="B28" s="16" t="str">
        <f>VLOOKUP(A28,'Main Data File'!$C$4:$U$146,19,FALSE)</f>
        <v>Andy</v>
      </c>
      <c r="C28" s="16" t="s">
        <v>75</v>
      </c>
      <c r="D28" s="16" t="s">
        <v>76</v>
      </c>
      <c r="E28" s="129"/>
      <c r="F28" s="129" t="e">
        <v>#N/A</v>
      </c>
      <c r="G28" s="130" t="str">
        <f>VLOOKUP(A28,'Main Data File'!$C$4:$U$146,17,FALSE)</f>
        <v>RVP31</v>
      </c>
      <c r="H28" s="129"/>
      <c r="I28" s="12" t="str">
        <f>VLOOKUP(A28,'Main Data File'!$C$4:$U$146,2,FALSE)</f>
        <v>Diverter Spout For Tub/Shower RV Faucet</v>
      </c>
      <c r="J28" s="169" t="str">
        <f>VLOOKUP(A28,'Main Data File'!$C$4:$U$146,18,FALSE)</f>
        <v>Done.  Item is in Menards.</v>
      </c>
      <c r="K28" s="129" t="s">
        <v>71</v>
      </c>
      <c r="L28" s="129"/>
      <c r="M28" s="129"/>
      <c r="N28" s="129"/>
      <c r="O28" s="129">
        <f>VLOOKUP(A28,'Main Data File'!$C$4:$U$146,3,FALSE)</f>
        <v>6.8</v>
      </c>
      <c r="P28" s="129">
        <f>VLOOKUP(A28,'Main Data File'!$C$4:$U$146,5,FALSE)</f>
        <v>2.75</v>
      </c>
      <c r="Q28" s="129">
        <f>VLOOKUP(A28,'Main Data File'!$C$4:$U$146,4,FALSE)</f>
        <v>5.125</v>
      </c>
      <c r="R28" s="129">
        <f>VLOOKUP(A28,'Main Data File'!$C$4:$U$146,6,FALSE)</f>
        <v>0.39</v>
      </c>
      <c r="S28" s="131">
        <f>VLOOKUP(A28,'Main Data File'!$C$4:$U$146,7,FALSE)</f>
        <v>5.5461516203703709E-2</v>
      </c>
      <c r="T28" s="129" t="str">
        <f>VLOOKUP(A28,'Main Data File'!$C$4:$U$146,8,FALSE)</f>
        <v>Heat Formed Plastic</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0"/>
      <c r="AQ28" s="132">
        <f>VLOOKUP(A28,'Main Data File'!$C$4:$U$146,10,FALSE)</f>
        <v>9594</v>
      </c>
      <c r="AR28" s="133" t="e">
        <f>VLOOKUP(A28,#REF!,44,FALSE)</f>
        <v>#REF!</v>
      </c>
      <c r="AS28" s="133" t="e">
        <f>VLOOKUP(A28,#REF!,24,FALSE)</f>
        <v>#REF!</v>
      </c>
      <c r="AT28" s="129"/>
      <c r="AU28" s="134" t="e">
        <f t="shared" si="0"/>
        <v>#REF!</v>
      </c>
      <c r="AV28" s="139"/>
      <c r="AW28" s="133" t="e">
        <f>VLOOKUP(A28,#REF!,25,FALSE)</f>
        <v>#REF!</v>
      </c>
      <c r="AX28" s="133" t="str">
        <f>VLOOKUP(A28,'Lowe''s final SKU list'!$C$2:$Q$99,2,FALSE)</f>
        <v>YES</v>
      </c>
      <c r="AY28" s="135" t="str">
        <f>VLOOKUP(A28,'Main Data File'!$C$4:$U$146,16,FALSE)</f>
        <v>x</v>
      </c>
      <c r="AZ28" s="135" t="str">
        <f>VLOOKUP(A28,'Main Data File'!$C$4:$U$146,13,FALSE)</f>
        <v>x</v>
      </c>
      <c r="BA28" s="135">
        <f>VLOOKUP(A28,'Main Data File'!$C$4:$U$146,14,FALSE)</f>
        <v>0</v>
      </c>
      <c r="BB28" s="135" t="str">
        <f>VLOOKUP(A28,'Main Data File'!$C$4:$U$146,15,FALSE)</f>
        <v>x</v>
      </c>
    </row>
    <row r="29" spans="1:54" ht="28">
      <c r="A29" s="16" t="s">
        <v>107</v>
      </c>
      <c r="B29" s="16" t="str">
        <f>VLOOKUP(A29,'Main Data File'!$C$4:$U$146,19,FALSE)</f>
        <v>Andy</v>
      </c>
      <c r="C29" s="16" t="s">
        <v>75</v>
      </c>
      <c r="D29" s="16" t="s">
        <v>76</v>
      </c>
      <c r="E29" s="129"/>
      <c r="F29" s="129" t="e">
        <v>#N/A</v>
      </c>
      <c r="G29" s="130" t="str">
        <f>VLOOKUP(A29,'Main Data File'!$C$4:$U$146,17,FALSE)</f>
        <v>RVP32</v>
      </c>
      <c r="H29" s="129"/>
      <c r="I29" s="12" t="str">
        <f>VLOOKUP(A29,'Main Data File'!$C$4:$U$146,2,FALSE)</f>
        <v>Plastic Roof Vent Cap</v>
      </c>
      <c r="J29" s="169" t="str">
        <f>VLOOKUP(A29,'Main Data File'!$C$4:$U$146,18,FALSE)</f>
        <v>Done.  Item is in Menards.</v>
      </c>
      <c r="K29" s="129" t="s">
        <v>71</v>
      </c>
      <c r="L29" s="129"/>
      <c r="M29" s="129"/>
      <c r="N29" s="129"/>
      <c r="O29" s="129">
        <f>VLOOKUP(A29,'Main Data File'!$C$4:$U$146,3,FALSE)</f>
        <v>8</v>
      </c>
      <c r="P29" s="129">
        <f>VLOOKUP(A29,'Main Data File'!$C$4:$U$146,5,FALSE)</f>
        <v>3.5</v>
      </c>
      <c r="Q29" s="129">
        <f>VLOOKUP(A29,'Main Data File'!$C$4:$U$146,4,FALSE)</f>
        <v>8</v>
      </c>
      <c r="R29" s="129">
        <f>VLOOKUP(A29,'Main Data File'!$C$4:$U$146,6,FALSE)</f>
        <v>0.5</v>
      </c>
      <c r="S29" s="131">
        <f>VLOOKUP(A29,'Main Data File'!$C$4:$U$146,7,FALSE)</f>
        <v>0.12962962962962962</v>
      </c>
      <c r="T29" s="129" t="str">
        <f>VLOOKUP(A29,'Main Data File'!$C$4:$U$146,8,FALSE)</f>
        <v>Bagged</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0"/>
      <c r="AQ29" s="132">
        <f>VLOOKUP(A29,'Main Data File'!$C$4:$U$146,10,FALSE)</f>
        <v>11193</v>
      </c>
      <c r="AR29" s="133" t="e">
        <f>VLOOKUP(A29,#REF!,44,FALSE)</f>
        <v>#REF!</v>
      </c>
      <c r="AS29" s="133" t="e">
        <f>VLOOKUP(A29,#REF!,24,FALSE)</f>
        <v>#REF!</v>
      </c>
      <c r="AT29" s="129"/>
      <c r="AU29" s="134" t="e">
        <f t="shared" si="0"/>
        <v>#REF!</v>
      </c>
      <c r="AV29" s="139">
        <v>9900</v>
      </c>
      <c r="AW29" s="133" t="e">
        <f>VLOOKUP(A29,#REF!,25,FALSE)</f>
        <v>#REF!</v>
      </c>
      <c r="AX29" s="133" t="str">
        <f>VLOOKUP(A29,'Lowe''s final SKU list'!$C$2:$Q$99,2,FALSE)</f>
        <v>YES</v>
      </c>
      <c r="AY29" s="135" t="str">
        <f>VLOOKUP(A29,'Main Data File'!$C$4:$U$146,16,FALSE)</f>
        <v>x</v>
      </c>
      <c r="AZ29" s="135" t="str">
        <f>VLOOKUP(A29,'Main Data File'!$C$4:$U$146,13,FALSE)</f>
        <v>x</v>
      </c>
      <c r="BA29" s="135">
        <f>VLOOKUP(A29,'Main Data File'!$C$4:$U$146,14,FALSE)</f>
        <v>0</v>
      </c>
      <c r="BB29" s="135" t="str">
        <f>VLOOKUP(A29,'Main Data File'!$C$4:$U$146,15,FALSE)</f>
        <v>x</v>
      </c>
    </row>
    <row r="30" spans="1:54" ht="28" hidden="1">
      <c r="A30" s="16" t="s">
        <v>274</v>
      </c>
      <c r="B30" s="16" t="str">
        <f>VLOOKUP(A30,'Main Data File'!$C$4:$U$146,19,FALSE)</f>
        <v>Andy</v>
      </c>
      <c r="C30" s="16"/>
      <c r="D30" s="16"/>
      <c r="E30" s="129"/>
      <c r="F30" s="129" t="e">
        <v>#N/A</v>
      </c>
      <c r="G30" s="130" t="str">
        <f>VLOOKUP(A30,'Main Data File'!$C$4:$U$146,17,FALSE)</f>
        <v>RVP33</v>
      </c>
      <c r="H30" s="129"/>
      <c r="I30" s="12" t="str">
        <f>VLOOKUP(A30,'Main Data File'!$C$4:$U$146,2,FALSE)</f>
        <v>Galvanized Roof Vent Cap</v>
      </c>
      <c r="J30" s="12" t="str">
        <f>VLOOKUP(A30,'Main Data File'!$C$4:$U$146,18,FALSE)</f>
        <v>Done.  Item is in Menards.</v>
      </c>
      <c r="K30" s="129" t="s">
        <v>71</v>
      </c>
      <c r="L30" s="129"/>
      <c r="M30" s="129"/>
      <c r="N30" s="129"/>
      <c r="O30" s="129">
        <f>VLOOKUP(A30,'Main Data File'!$C$4:$U$146,3,FALSE)</f>
        <v>8</v>
      </c>
      <c r="P30" s="129">
        <f>VLOOKUP(A30,'Main Data File'!$C$4:$U$146,5,FALSE)</f>
        <v>3.5</v>
      </c>
      <c r="Q30" s="129">
        <f>VLOOKUP(A30,'Main Data File'!$C$4:$U$146,4,FALSE)</f>
        <v>8</v>
      </c>
      <c r="R30" s="129">
        <f>VLOOKUP(A30,'Main Data File'!$C$4:$U$146,6,FALSE)</f>
        <v>1</v>
      </c>
      <c r="S30" s="131">
        <f>VLOOKUP(A30,'Main Data File'!$C$4:$U$146,7,FALSE)</f>
        <v>0.12962962962962962</v>
      </c>
      <c r="T30" s="129" t="str">
        <f>VLOOKUP(A30,'Main Data File'!$C$4:$U$146,8,FALSE)</f>
        <v>Bagged</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0"/>
      <c r="AQ30" s="132">
        <f>VLOOKUP(A30,'Main Data File'!$C$4:$U$146,10,FALSE)</f>
        <v>9594</v>
      </c>
      <c r="AR30" s="133" t="e">
        <f>VLOOKUP(A30,#REF!,44,FALSE)</f>
        <v>#REF!</v>
      </c>
      <c r="AS30" s="133" t="e">
        <f>VLOOKUP(A30,#REF!,24,FALSE)</f>
        <v>#REF!</v>
      </c>
      <c r="AT30" s="129"/>
      <c r="AU30" s="134" t="e">
        <f t="shared" si="0"/>
        <v>#REF!</v>
      </c>
      <c r="AV30" s="139">
        <v>4450</v>
      </c>
      <c r="AW30" s="133" t="e">
        <f>VLOOKUP(A30,#REF!,25,FALSE)</f>
        <v>#REF!</v>
      </c>
      <c r="AX30" s="133" t="e">
        <f>VLOOKUP(A30,'Lowe''s final SKU list'!$C$2:$Q$99,2,FALSE)</f>
        <v>#N/A</v>
      </c>
      <c r="AY30" s="135" t="str">
        <f>VLOOKUP(A30,'Main Data File'!$C$4:$U$146,16,FALSE)</f>
        <v>x</v>
      </c>
      <c r="AZ30" s="135" t="str">
        <f>VLOOKUP(A30,'Main Data File'!$C$4:$U$146,13,FALSE)</f>
        <v>x</v>
      </c>
      <c r="BA30" s="135">
        <f>VLOOKUP(A30,'Main Data File'!$C$4:$U$146,14,FALSE)</f>
        <v>0</v>
      </c>
      <c r="BB30" s="135" t="str">
        <f>VLOOKUP(A30,'Main Data File'!$C$4:$U$146,15,FALSE)</f>
        <v>x</v>
      </c>
    </row>
    <row r="31" spans="1:54" ht="54" customHeight="1">
      <c r="A31" s="16" t="s">
        <v>108</v>
      </c>
      <c r="B31" s="16" t="str">
        <f>VLOOKUP(A31,'Main Data File'!$C$4:$U$146,19,FALSE)</f>
        <v>Mike</v>
      </c>
      <c r="C31" s="16"/>
      <c r="D31" s="16"/>
      <c r="E31" s="129"/>
      <c r="F31" s="129" t="s">
        <v>751</v>
      </c>
      <c r="G31" s="130" t="str">
        <f>VLOOKUP(A31,'Main Data File'!$C$4:$U$146,17,FALSE)</f>
        <v>WP-9708C</v>
      </c>
      <c r="H31" s="129"/>
      <c r="I31" s="12" t="str">
        <f>VLOOKUP(A31,'Main Data File'!$C$4:$U$146,2,FALSE)</f>
        <v>Cam Style Lock 5/8" For Baggage Door</v>
      </c>
      <c r="J31" s="12" t="str">
        <f>VLOOKUP(A31,'Main Data File'!$C$4:$U$146,18,FALSE)</f>
        <v>Modify USH instructions</v>
      </c>
      <c r="K31" s="129" t="s">
        <v>71</v>
      </c>
      <c r="L31" s="129"/>
      <c r="M31" s="129"/>
      <c r="N31" s="129"/>
      <c r="O31" s="129">
        <f>VLOOKUP(A31,'Main Data File'!$C$4:$U$146,3,FALSE)</f>
        <v>5.7</v>
      </c>
      <c r="P31" s="129">
        <f>VLOOKUP(A31,'Main Data File'!$C$4:$U$146,5,FALSE)</f>
        <v>1</v>
      </c>
      <c r="Q31" s="129">
        <f>VLOOKUP(A31,'Main Data File'!$C$4:$U$146,4,FALSE)</f>
        <v>3.65</v>
      </c>
      <c r="R31" s="129">
        <f>VLOOKUP(A31,'Main Data File'!$C$4:$U$146,6,FALSE)</f>
        <v>0.2</v>
      </c>
      <c r="S31" s="131">
        <f>VLOOKUP(A31,'Main Data File'!$C$4:$U$146,7,FALSE)</f>
        <v>1.2039930555555555E-2</v>
      </c>
      <c r="T31" s="129" t="str">
        <f>VLOOKUP(A31,'Main Data File'!$C$4:$U$146,8,FALSE)</f>
        <v>Heat Formed Plastic</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0"/>
      <c r="AQ31" s="132">
        <f>VLOOKUP(A31,'Main Data File'!$C$4:$U$146,10,FALSE)</f>
        <v>9018</v>
      </c>
      <c r="AR31" s="133" t="e">
        <f>VLOOKUP(A31,#REF!,44,FALSE)</f>
        <v>#REF!</v>
      </c>
      <c r="AS31" s="133" t="e">
        <f>VLOOKUP(A31,#REF!,24,FALSE)</f>
        <v>#REF!</v>
      </c>
      <c r="AT31" s="129"/>
      <c r="AU31" s="134" t="e">
        <f t="shared" si="0"/>
        <v>#REF!</v>
      </c>
      <c r="AV31" s="139"/>
      <c r="AW31" s="133" t="e">
        <f>VLOOKUP(A31,#REF!,25,FALSE)</f>
        <v>#REF!</v>
      </c>
      <c r="AX31" s="133" t="str">
        <f>VLOOKUP(A31,'Lowe''s final SKU list'!$C$2:$Q$99,2,FALSE)</f>
        <v>YES</v>
      </c>
      <c r="AY31" s="135" t="str">
        <f>VLOOKUP(A31,'Main Data File'!$C$4:$U$146,16,FALSE)</f>
        <v>x</v>
      </c>
      <c r="AZ31" s="135" t="str">
        <f>VLOOKUP(A31,'Main Data File'!$C$4:$U$146,13,FALSE)</f>
        <v>x</v>
      </c>
      <c r="BA31" s="135">
        <f>VLOOKUP(A31,'Main Data File'!$C$4:$U$146,14,FALSE)</f>
        <v>0</v>
      </c>
      <c r="BB31" s="135">
        <f>VLOOKUP(A31,'Main Data File'!$C$4:$U$146,15,FALSE)</f>
        <v>0</v>
      </c>
    </row>
    <row r="32" spans="1:54" ht="54" customHeight="1">
      <c r="A32" s="16" t="s">
        <v>109</v>
      </c>
      <c r="B32" s="16" t="str">
        <f>VLOOKUP(A32,'Main Data File'!$C$4:$U$146,19,FALSE)</f>
        <v>Mike</v>
      </c>
      <c r="C32" s="16"/>
      <c r="D32" s="16"/>
      <c r="E32" s="129"/>
      <c r="F32" s="129" t="s">
        <v>752</v>
      </c>
      <c r="G32" s="130" t="str">
        <f>VLOOKUP(A32,'Main Data File'!$C$4:$U$146,17,FALSE)</f>
        <v>D-628C</v>
      </c>
      <c r="H32" s="129"/>
      <c r="I32" s="12" t="str">
        <f>VLOOKUP(A32,'Main Data File'!$C$4:$U$146,2,FALSE)</f>
        <v>Drive In Latch Plastic</v>
      </c>
      <c r="J32" s="12" t="str">
        <f>VLOOKUP(A32,'Main Data File'!$C$4:$U$146,18,FALSE)</f>
        <v>Modify USH instructions</v>
      </c>
      <c r="K32" s="129" t="s">
        <v>71</v>
      </c>
      <c r="L32" s="129"/>
      <c r="M32" s="129"/>
      <c r="N32" s="129"/>
      <c r="O32" s="129">
        <f>VLOOKUP(A32,'Main Data File'!$C$4:$U$146,3,FALSE)</f>
        <v>5.7</v>
      </c>
      <c r="P32" s="129">
        <f>VLOOKUP(A32,'Main Data File'!$C$4:$U$146,5,FALSE)</f>
        <v>0.75</v>
      </c>
      <c r="Q32" s="129">
        <f>VLOOKUP(A32,'Main Data File'!$C$4:$U$146,4,FALSE)</f>
        <v>3.65</v>
      </c>
      <c r="R32" s="129">
        <f>VLOOKUP(A32,'Main Data File'!$C$4:$U$146,6,FALSE)</f>
        <v>0.28000000000000003</v>
      </c>
      <c r="S32" s="131">
        <f>VLOOKUP(A32,'Main Data File'!$C$4:$U$146,7,FALSE)</f>
        <v>9.0299479166666662E-3</v>
      </c>
      <c r="T32" s="129" t="str">
        <f>VLOOKUP(A32,'Main Data File'!$C$4:$U$146,8,FALSE)</f>
        <v>Heat Formed Plastic</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0"/>
      <c r="AQ32" s="132">
        <f>VLOOKUP(A32,'Main Data File'!$C$4:$U$146,10,FALSE)</f>
        <v>1104.0000000000002</v>
      </c>
      <c r="AR32" s="133" t="e">
        <f>VLOOKUP(A32,#REF!,44,FALSE)</f>
        <v>#REF!</v>
      </c>
      <c r="AS32" s="133" t="e">
        <f>VLOOKUP(A32,#REF!,24,FALSE)</f>
        <v>#REF!</v>
      </c>
      <c r="AT32" s="129"/>
      <c r="AU32" s="134" t="e">
        <f t="shared" si="0"/>
        <v>#REF!</v>
      </c>
      <c r="AV32" s="139"/>
      <c r="AW32" s="133" t="e">
        <f>VLOOKUP(A32,#REF!,25,FALSE)</f>
        <v>#REF!</v>
      </c>
      <c r="AX32" s="133" t="str">
        <f>VLOOKUP(A32,'Lowe''s final SKU list'!$C$2:$Q$99,2,FALSE)</f>
        <v>YES</v>
      </c>
      <c r="AY32" s="135" t="str">
        <f>VLOOKUP(A32,'Main Data File'!$C$4:$U$146,16,FALSE)</f>
        <v>x</v>
      </c>
      <c r="AZ32" s="135">
        <f>VLOOKUP(A32,'Main Data File'!$C$4:$U$146,13,FALSE)</f>
        <v>0</v>
      </c>
      <c r="BA32" s="135" t="str">
        <f>VLOOKUP(A32,'Main Data File'!$C$4:$U$146,14,FALSE)</f>
        <v>x</v>
      </c>
      <c r="BB32" s="135">
        <f>VLOOKUP(A32,'Main Data File'!$C$4:$U$146,15,FALSE)</f>
        <v>0</v>
      </c>
    </row>
    <row r="33" spans="1:54" ht="54" hidden="1" customHeight="1">
      <c r="A33" s="16" t="s">
        <v>280</v>
      </c>
      <c r="B33" s="16" t="str">
        <f>VLOOKUP(A33,'Main Data File'!$C$4:$U$146,19,FALSE)</f>
        <v>Mike</v>
      </c>
      <c r="C33" s="16"/>
      <c r="D33" s="16"/>
      <c r="E33" s="129"/>
      <c r="F33" s="129" t="s">
        <v>753</v>
      </c>
      <c r="G33" s="130" t="str">
        <f>VLOOKUP(A33,'Main Data File'!$C$4:$U$146,17,FALSE)</f>
        <v>WP-8831C</v>
      </c>
      <c r="H33" s="129"/>
      <c r="I33" s="12" t="str">
        <f>VLOOKUP(A33,'Main Data File'!$C$4:$U$146,2,FALSE)</f>
        <v>Screen Storm Clips With Screws Brown 8/Pack</v>
      </c>
      <c r="J33" s="12" t="str">
        <f>VLOOKUP(A33,'Main Data File'!$C$4:$U$146,18,FALSE)</f>
        <v>Modify USH instructions</v>
      </c>
      <c r="K33" s="129" t="s">
        <v>71</v>
      </c>
      <c r="L33" s="129"/>
      <c r="M33" s="129"/>
      <c r="N33" s="129"/>
      <c r="O33" s="129">
        <f>VLOOKUP(A33,'Main Data File'!$C$4:$U$146,3,FALSE)</f>
        <v>5.7</v>
      </c>
      <c r="P33" s="129">
        <f>VLOOKUP(A33,'Main Data File'!$C$4:$U$146,5,FALSE)</f>
        <v>1</v>
      </c>
      <c r="Q33" s="129">
        <f>VLOOKUP(A33,'Main Data File'!$C$4:$U$146,4,FALSE)</f>
        <v>3.65</v>
      </c>
      <c r="R33" s="129">
        <f>VLOOKUP(A33,'Main Data File'!$C$4:$U$146,6,FALSE)</f>
        <v>7.0000000000000007E-2</v>
      </c>
      <c r="S33" s="131">
        <f>VLOOKUP(A33,'Main Data File'!$C$4:$U$146,7,FALSE)</f>
        <v>1.2039930555555555E-2</v>
      </c>
      <c r="T33" s="129" t="str">
        <f>VLOOKUP(A33,'Main Data File'!$C$4:$U$146,8,FALSE)</f>
        <v>Heat Formed Plastic</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0"/>
      <c r="AQ33" s="132">
        <f>VLOOKUP(A33,'Main Data File'!$C$4:$U$146,10,FALSE)</f>
        <v>680.00000000000011</v>
      </c>
      <c r="AR33" s="133" t="e">
        <f>VLOOKUP(A33,#REF!,44,FALSE)</f>
        <v>#REF!</v>
      </c>
      <c r="AS33" s="133" t="e">
        <f>VLOOKUP(A33,#REF!,24,FALSE)</f>
        <v>#REF!</v>
      </c>
      <c r="AT33" s="129"/>
      <c r="AU33" s="134" t="e">
        <f t="shared" si="0"/>
        <v>#REF!</v>
      </c>
      <c r="AV33" s="139"/>
      <c r="AW33" s="133" t="e">
        <f>VLOOKUP(A33,#REF!,25,FALSE)</f>
        <v>#REF!</v>
      </c>
      <c r="AX33" s="133" t="e">
        <f>VLOOKUP(A33,'Lowe''s final SKU list'!$C$2:$Q$99,2,FALSE)</f>
        <v>#N/A</v>
      </c>
      <c r="AY33" s="135">
        <f>VLOOKUP(A33,'Main Data File'!$C$4:$U$146,16,FALSE)</f>
        <v>0</v>
      </c>
      <c r="AZ33" s="135">
        <f>VLOOKUP(A33,'Main Data File'!$C$4:$U$146,13,FALSE)</f>
        <v>0</v>
      </c>
      <c r="BA33" s="135">
        <f>VLOOKUP(A33,'Main Data File'!$C$4:$U$146,14,FALSE)</f>
        <v>0</v>
      </c>
      <c r="BB33" s="135">
        <f>VLOOKUP(A33,'Main Data File'!$C$4:$U$146,15,FALSE)</f>
        <v>0</v>
      </c>
    </row>
    <row r="34" spans="1:54" ht="54" hidden="1" customHeight="1">
      <c r="A34" s="16" t="s">
        <v>283</v>
      </c>
      <c r="B34" s="16" t="str">
        <f>VLOOKUP(A34,'Main Data File'!$C$4:$U$146,19,FALSE)</f>
        <v>Mike</v>
      </c>
      <c r="C34" s="16"/>
      <c r="D34" s="16"/>
      <c r="E34" s="129"/>
      <c r="F34" s="129" t="s">
        <v>754</v>
      </c>
      <c r="G34" s="130" t="str">
        <f>VLOOKUP(A34,'Main Data File'!$C$4:$U$146,17,FALSE)</f>
        <v>WP-9877C</v>
      </c>
      <c r="H34" s="129"/>
      <c r="I34" s="12" t="str">
        <f>VLOOKUP(A34,'Main Data File'!$C$4:$U$146,2,FALSE)</f>
        <v>Screen Storm Clips With Screws White 8/Pack</v>
      </c>
      <c r="J34" s="12" t="str">
        <f>VLOOKUP(A34,'Main Data File'!$C$4:$U$146,18,FALSE)</f>
        <v>Modify USH instructions</v>
      </c>
      <c r="K34" s="129" t="s">
        <v>71</v>
      </c>
      <c r="L34" s="129"/>
      <c r="M34" s="129"/>
      <c r="N34" s="129"/>
      <c r="O34" s="129">
        <f>VLOOKUP(A34,'Main Data File'!$C$4:$U$146,3,FALSE)</f>
        <v>5.7</v>
      </c>
      <c r="P34" s="129">
        <f>VLOOKUP(A34,'Main Data File'!$C$4:$U$146,5,FALSE)</f>
        <v>1</v>
      </c>
      <c r="Q34" s="129">
        <f>VLOOKUP(A34,'Main Data File'!$C$4:$U$146,4,FALSE)</f>
        <v>3.65</v>
      </c>
      <c r="R34" s="129">
        <f>VLOOKUP(A34,'Main Data File'!$C$4:$U$146,6,FALSE)</f>
        <v>7.0000000000000007E-2</v>
      </c>
      <c r="S34" s="131">
        <f>VLOOKUP(A34,'Main Data File'!$C$4:$U$146,7,FALSE)</f>
        <v>1.2039930555555555E-2</v>
      </c>
      <c r="T34" s="129" t="str">
        <f>VLOOKUP(A34,'Main Data File'!$C$4:$U$146,8,FALSE)</f>
        <v>Heat Formed Plastic</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0"/>
      <c r="AQ34" s="132">
        <f>VLOOKUP(A34,'Main Data File'!$C$4:$U$146,10,FALSE)</f>
        <v>408</v>
      </c>
      <c r="AR34" s="133" t="e">
        <f>VLOOKUP(A34,#REF!,44,FALSE)</f>
        <v>#REF!</v>
      </c>
      <c r="AS34" s="133" t="e">
        <f>VLOOKUP(A34,#REF!,24,FALSE)</f>
        <v>#REF!</v>
      </c>
      <c r="AT34" s="129"/>
      <c r="AU34" s="134" t="e">
        <f t="shared" si="0"/>
        <v>#REF!</v>
      </c>
      <c r="AV34" s="139"/>
      <c r="AW34" s="133" t="e">
        <f>VLOOKUP(A34,#REF!,25,FALSE)</f>
        <v>#REF!</v>
      </c>
      <c r="AX34" s="133" t="e">
        <f>VLOOKUP(A34,'Lowe''s final SKU list'!$C$2:$Q$99,2,FALSE)</f>
        <v>#N/A</v>
      </c>
      <c r="AY34" s="135">
        <f>VLOOKUP(A34,'Main Data File'!$C$4:$U$146,16,FALSE)</f>
        <v>0</v>
      </c>
      <c r="AZ34" s="135">
        <f>VLOOKUP(A34,'Main Data File'!$C$4:$U$146,13,FALSE)</f>
        <v>0</v>
      </c>
      <c r="BA34" s="135">
        <f>VLOOKUP(A34,'Main Data File'!$C$4:$U$146,14,FALSE)</f>
        <v>0</v>
      </c>
      <c r="BB34" s="135">
        <f>VLOOKUP(A34,'Main Data File'!$C$4:$U$146,15,FALSE)</f>
        <v>0</v>
      </c>
    </row>
    <row r="35" spans="1:54" ht="54" customHeight="1">
      <c r="A35" s="16" t="s">
        <v>110</v>
      </c>
      <c r="B35" s="16" t="str">
        <f>VLOOKUP(A35,'Main Data File'!$C$4:$U$146,19,FALSE)</f>
        <v>Mike</v>
      </c>
      <c r="C35" s="16"/>
      <c r="D35" s="16"/>
      <c r="E35" s="129"/>
      <c r="F35" s="129" t="s">
        <v>111</v>
      </c>
      <c r="G35" s="130" t="str">
        <f>VLOOKUP(A35,'Main Data File'!$C$4:$U$146,17,FALSE)</f>
        <v>RV-523C</v>
      </c>
      <c r="H35" s="129"/>
      <c r="I35" s="12" t="str">
        <f>VLOOKUP(A35,'Main Data File'!$C$4:$U$146,2,FALSE)</f>
        <v>5/8" Standard Hitch Pin</v>
      </c>
      <c r="J35" s="12" t="str">
        <f>VLOOKUP(A35,'Main Data File'!$C$4:$U$146,18,FALSE)</f>
        <v>Modify USH instructions</v>
      </c>
      <c r="K35" s="129" t="s">
        <v>71</v>
      </c>
      <c r="L35" s="129"/>
      <c r="M35" s="129"/>
      <c r="N35" s="129"/>
      <c r="O35" s="129">
        <f>VLOOKUP(A35,'Main Data File'!$C$4:$U$146,3,FALSE)</f>
        <v>5.7</v>
      </c>
      <c r="P35" s="129">
        <f>VLOOKUP(A35,'Main Data File'!$C$4:$U$146,5,FALSE)</f>
        <v>0.75</v>
      </c>
      <c r="Q35" s="129">
        <f>VLOOKUP(A35,'Main Data File'!$C$4:$U$146,4,FALSE)</f>
        <v>3.65</v>
      </c>
      <c r="R35" s="129">
        <f>VLOOKUP(A35,'Main Data File'!$C$4:$U$146,6,FALSE)</f>
        <v>0.6</v>
      </c>
      <c r="S35" s="131">
        <f>VLOOKUP(A35,'Main Data File'!$C$4:$U$146,7,FALSE)</f>
        <v>9.0299479166666662E-3</v>
      </c>
      <c r="T35" s="129" t="str">
        <f>VLOOKUP(A35,'Main Data File'!$C$4:$U$146,8,FALSE)</f>
        <v>Heat Formed Plastic</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0"/>
      <c r="AQ35" s="132">
        <f>VLOOKUP(A35,'Main Data File'!$C$4:$U$146,10,FALSE)</f>
        <v>22386</v>
      </c>
      <c r="AR35" s="133" t="e">
        <f>VLOOKUP(A35,#REF!,44,FALSE)</f>
        <v>#REF!</v>
      </c>
      <c r="AS35" s="133" t="e">
        <f>VLOOKUP(A35,#REF!,24,FALSE)</f>
        <v>#REF!</v>
      </c>
      <c r="AT35" s="129"/>
      <c r="AU35" s="134" t="e">
        <f t="shared" si="0"/>
        <v>#REF!</v>
      </c>
      <c r="AV35" s="139"/>
      <c r="AW35" s="133" t="e">
        <f>VLOOKUP(A35,#REF!,25,FALSE)</f>
        <v>#REF!</v>
      </c>
      <c r="AX35" s="133" t="str">
        <f>VLOOKUP(A35,'Lowe''s final SKU list'!$C$2:$Q$99,2,FALSE)</f>
        <v>YES</v>
      </c>
      <c r="AY35" s="135" t="str">
        <f>VLOOKUP(A35,'Main Data File'!$C$4:$U$146,16,FALSE)</f>
        <v>x</v>
      </c>
      <c r="AZ35" s="135" t="str">
        <f>VLOOKUP(A35,'Main Data File'!$C$4:$U$146,13,FALSE)</f>
        <v>x</v>
      </c>
      <c r="BA35" s="135">
        <f>VLOOKUP(A35,'Main Data File'!$C$4:$U$146,14,FALSE)</f>
        <v>0</v>
      </c>
      <c r="BB35" s="135" t="str">
        <f>VLOOKUP(A35,'Main Data File'!$C$4:$U$146,15,FALSE)</f>
        <v>x</v>
      </c>
    </row>
    <row r="36" spans="1:54" ht="54" customHeight="1">
      <c r="A36" s="16" t="s">
        <v>112</v>
      </c>
      <c r="B36" s="16" t="str">
        <f>VLOOKUP(A36,'Main Data File'!$C$4:$U$146,19,FALSE)</f>
        <v>Mike</v>
      </c>
      <c r="C36" s="16"/>
      <c r="D36" s="16"/>
      <c r="E36" s="129"/>
      <c r="F36" s="129" t="s">
        <v>113</v>
      </c>
      <c r="G36" s="130" t="str">
        <f>VLOOKUP(A36,'Main Data File'!$C$4:$U$146,17,FALSE)</f>
        <v>RV-867C</v>
      </c>
      <c r="H36" s="129"/>
      <c r="I36" s="12" t="str">
        <f>VLOOKUP(A36,'Main Data File'!$C$4:$U$146,2,FALSE)</f>
        <v>Coupler Lock Pin 5/16" Diameter</v>
      </c>
      <c r="J36" s="12" t="str">
        <f>VLOOKUP(A36,'Main Data File'!$C$4:$U$146,18,FALSE)</f>
        <v>Modify USH instructions</v>
      </c>
      <c r="K36" s="129" t="s">
        <v>71</v>
      </c>
      <c r="L36" s="129"/>
      <c r="M36" s="129"/>
      <c r="N36" s="129"/>
      <c r="O36" s="129">
        <f>VLOOKUP(A36,'Main Data File'!$C$4:$U$146,3,FALSE)</f>
        <v>5.7</v>
      </c>
      <c r="P36" s="129">
        <f>VLOOKUP(A36,'Main Data File'!$C$4:$U$146,5,FALSE)</f>
        <v>0.75</v>
      </c>
      <c r="Q36" s="129">
        <f>VLOOKUP(A36,'Main Data File'!$C$4:$U$146,4,FALSE)</f>
        <v>3.65</v>
      </c>
      <c r="R36" s="129">
        <f>VLOOKUP(A36,'Main Data File'!$C$4:$U$146,6,FALSE)</f>
        <v>0.22</v>
      </c>
      <c r="S36" s="131">
        <f>VLOOKUP(A36,'Main Data File'!$C$4:$U$146,7,FALSE)</f>
        <v>9.0299479166666662E-3</v>
      </c>
      <c r="T36" s="129" t="str">
        <f>VLOOKUP(A36,'Main Data File'!$C$4:$U$146,8,FALSE)</f>
        <v>Heat Formed Plastic</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0"/>
      <c r="AQ36" s="132">
        <f>VLOOKUP(A36,'Main Data File'!$C$4:$U$146,10,FALSE)</f>
        <v>33579</v>
      </c>
      <c r="AR36" s="133" t="e">
        <f>VLOOKUP(A36,#REF!,44,FALSE)</f>
        <v>#REF!</v>
      </c>
      <c r="AS36" s="133" t="e">
        <f>VLOOKUP(A36,#REF!,24,FALSE)</f>
        <v>#REF!</v>
      </c>
      <c r="AT36" s="129"/>
      <c r="AU36" s="134" t="e">
        <f t="shared" si="0"/>
        <v>#REF!</v>
      </c>
      <c r="AV36" s="139"/>
      <c r="AW36" s="133" t="e">
        <f>VLOOKUP(A36,#REF!,25,FALSE)</f>
        <v>#REF!</v>
      </c>
      <c r="AX36" s="133" t="str">
        <f>VLOOKUP(A36,'Lowe''s final SKU list'!$C$2:$Q$99,2,FALSE)</f>
        <v>YES</v>
      </c>
      <c r="AY36" s="135" t="str">
        <f>VLOOKUP(A36,'Main Data File'!$C$4:$U$146,16,FALSE)</f>
        <v>x</v>
      </c>
      <c r="AZ36" s="135" t="str">
        <f>VLOOKUP(A36,'Main Data File'!$C$4:$U$146,13,FALSE)</f>
        <v>x</v>
      </c>
      <c r="BA36" s="135">
        <f>VLOOKUP(A36,'Main Data File'!$C$4:$U$146,14,FALSE)</f>
        <v>0</v>
      </c>
      <c r="BB36" s="135" t="str">
        <f>VLOOKUP(A36,'Main Data File'!$C$4:$U$146,15,FALSE)</f>
        <v>x</v>
      </c>
    </row>
    <row r="37" spans="1:54" ht="54" customHeight="1">
      <c r="A37" s="16" t="s">
        <v>114</v>
      </c>
      <c r="B37" s="16" t="str">
        <f>VLOOKUP(A37,'Main Data File'!$C$4:$U$146,19,FALSE)</f>
        <v>Mike</v>
      </c>
      <c r="C37" s="16"/>
      <c r="D37" s="16"/>
      <c r="E37" s="129"/>
      <c r="F37" s="129" t="s">
        <v>115</v>
      </c>
      <c r="G37" s="130" t="str">
        <f>VLOOKUP(A37,'Main Data File'!$C$4:$U$146,17,FALSE)</f>
        <v>RV-525C</v>
      </c>
      <c r="H37" s="129"/>
      <c r="I37" s="12" t="str">
        <f>VLOOKUP(A37,'Main Data File'!$C$4:$U$146,2,FALSE)</f>
        <v>Coupler Lock Pin 1/4" Diameter</v>
      </c>
      <c r="J37" s="12" t="str">
        <f>VLOOKUP(A37,'Main Data File'!$C$4:$U$146,18,FALSE)</f>
        <v>Modify USH instructions</v>
      </c>
      <c r="K37" s="129" t="s">
        <v>71</v>
      </c>
      <c r="L37" s="129"/>
      <c r="M37" s="129"/>
      <c r="N37" s="129"/>
      <c r="O37" s="129">
        <f>VLOOKUP(A37,'Main Data File'!$C$4:$U$146,3,FALSE)</f>
        <v>5.7</v>
      </c>
      <c r="P37" s="129">
        <f>VLOOKUP(A37,'Main Data File'!$C$4:$U$146,5,FALSE)</f>
        <v>0.75</v>
      </c>
      <c r="Q37" s="129">
        <f>VLOOKUP(A37,'Main Data File'!$C$4:$U$146,4,FALSE)</f>
        <v>3.65</v>
      </c>
      <c r="R37" s="129">
        <f>VLOOKUP(A37,'Main Data File'!$C$4:$U$146,6,FALSE)</f>
        <v>0.1</v>
      </c>
      <c r="S37" s="131">
        <f>VLOOKUP(A37,'Main Data File'!$C$4:$U$146,7,FALSE)</f>
        <v>9.0299479166666662E-3</v>
      </c>
      <c r="T37" s="129" t="str">
        <f>VLOOKUP(A37,'Main Data File'!$C$4:$U$146,8,FALSE)</f>
        <v>Heat Formed Plastic</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0"/>
      <c r="AQ37" s="132">
        <f>VLOOKUP(A37,'Main Data File'!$C$4:$U$146,10,FALSE)</f>
        <v>33579</v>
      </c>
      <c r="AR37" s="133" t="e">
        <f>VLOOKUP(A37,#REF!,44,FALSE)</f>
        <v>#REF!</v>
      </c>
      <c r="AS37" s="133" t="e">
        <f>VLOOKUP(A37,#REF!,24,FALSE)</f>
        <v>#REF!</v>
      </c>
      <c r="AT37" s="129"/>
      <c r="AU37" s="134" t="e">
        <f t="shared" si="0"/>
        <v>#REF!</v>
      </c>
      <c r="AV37" s="139"/>
      <c r="AW37" s="133" t="e">
        <f>VLOOKUP(A37,#REF!,25,FALSE)</f>
        <v>#REF!</v>
      </c>
      <c r="AX37" s="133" t="str">
        <f>VLOOKUP(A37,'Lowe''s final SKU list'!$C$2:$Q$99,2,FALSE)</f>
        <v>YES</v>
      </c>
      <c r="AY37" s="135" t="str">
        <f>VLOOKUP(A37,'Main Data File'!$C$4:$U$146,16,FALSE)</f>
        <v>x</v>
      </c>
      <c r="AZ37" s="135" t="str">
        <f>VLOOKUP(A37,'Main Data File'!$C$4:$U$146,13,FALSE)</f>
        <v>x</v>
      </c>
      <c r="BA37" s="135">
        <f>VLOOKUP(A37,'Main Data File'!$C$4:$U$146,14,FALSE)</f>
        <v>0</v>
      </c>
      <c r="BB37" s="135" t="str">
        <f>VLOOKUP(A37,'Main Data File'!$C$4:$U$146,15,FALSE)</f>
        <v>x</v>
      </c>
    </row>
    <row r="38" spans="1:54" ht="54" hidden="1" customHeight="1">
      <c r="A38" s="16" t="s">
        <v>292</v>
      </c>
      <c r="B38" s="16" t="str">
        <f>VLOOKUP(A38,'Main Data File'!$C$4:$U$146,19,FALSE)</f>
        <v>Boyd</v>
      </c>
      <c r="C38" s="16"/>
      <c r="D38" s="16"/>
      <c r="E38" s="129"/>
      <c r="F38" s="129" t="s">
        <v>755</v>
      </c>
      <c r="G38" s="130" t="str">
        <f>VLOOKUP(A38,'Main Data File'!$C$4:$U$146,17,FALSE)</f>
        <v>RV-482B</v>
      </c>
      <c r="H38" s="129"/>
      <c r="I38" s="12" t="str">
        <f>VLOOKUP(A38,'Main Data File'!$C$4:$U$146,2,FALSE)</f>
        <v>12 Volt 10' Extension Cord W/Battery Clip</v>
      </c>
      <c r="J38" s="12" t="str">
        <f>VLOOKUP(A38,'Main Data File'!$C$4:$U$146,18,FALSE)</f>
        <v>Modify USH instructions</v>
      </c>
      <c r="K38" s="129" t="s">
        <v>71</v>
      </c>
      <c r="L38" s="129"/>
      <c r="M38" s="129"/>
      <c r="N38" s="129"/>
      <c r="O38" s="129">
        <f>VLOOKUP(A38,'Main Data File'!$C$4:$U$146,3,FALSE)</f>
        <v>8</v>
      </c>
      <c r="P38" s="129">
        <f>VLOOKUP(A38,'Main Data File'!$C$4:$U$146,5,FALSE)</f>
        <v>5</v>
      </c>
      <c r="Q38" s="129">
        <f>VLOOKUP(A38,'Main Data File'!$C$4:$U$146,4,FALSE)</f>
        <v>2.25</v>
      </c>
      <c r="R38" s="129">
        <f>VLOOKUP(A38,'Main Data File'!$C$4:$U$146,6,FALSE)</f>
        <v>0.8</v>
      </c>
      <c r="S38" s="131">
        <f>VLOOKUP(A38,'Main Data File'!$C$4:$U$146,7,FALSE)</f>
        <v>5.2083333333333336E-2</v>
      </c>
      <c r="T38" s="129" t="str">
        <f>VLOOKUP(A38,'Main Data File'!$C$4:$U$146,8,FALSE)</f>
        <v>Bagged</v>
      </c>
      <c r="U38" s="129"/>
      <c r="V38" s="129"/>
      <c r="W38" s="129"/>
      <c r="X38" s="129"/>
      <c r="Y38" s="129"/>
      <c r="Z38" s="129"/>
      <c r="AA38" s="129"/>
      <c r="AB38" s="129"/>
      <c r="AC38" s="129"/>
      <c r="AD38" s="129"/>
      <c r="AE38" s="129"/>
      <c r="AF38" s="129"/>
      <c r="AG38" s="129"/>
      <c r="AH38" s="129"/>
      <c r="AI38" s="129"/>
      <c r="AJ38" s="129"/>
      <c r="AK38" s="129"/>
      <c r="AL38" s="129"/>
      <c r="AM38" s="129"/>
      <c r="AN38" s="129"/>
      <c r="AO38" s="129"/>
      <c r="AP38" s="10"/>
      <c r="AQ38" s="132">
        <f>VLOOKUP(A38,'Main Data File'!$C$4:$U$146,10,FALSE)</f>
        <v>340.00000000000006</v>
      </c>
      <c r="AR38" s="133" t="e">
        <f>VLOOKUP(A38,#REF!,44,FALSE)</f>
        <v>#REF!</v>
      </c>
      <c r="AS38" s="133" t="e">
        <f>VLOOKUP(A38,#REF!,24,FALSE)</f>
        <v>#REF!</v>
      </c>
      <c r="AT38" s="129"/>
      <c r="AU38" s="134" t="e">
        <f t="shared" si="0"/>
        <v>#REF!</v>
      </c>
      <c r="AV38" s="139"/>
      <c r="AW38" s="133" t="e">
        <f>VLOOKUP(A38,#REF!,25,FALSE)</f>
        <v>#REF!</v>
      </c>
      <c r="AX38" s="133" t="e">
        <f>VLOOKUP(A38,'Lowe''s final SKU list'!$C$2:$Q$99,2,FALSE)</f>
        <v>#N/A</v>
      </c>
      <c r="AY38" s="135" t="str">
        <f>VLOOKUP(A38,'Main Data File'!$C$4:$U$146,16,FALSE)</f>
        <v>x</v>
      </c>
      <c r="AZ38" s="135">
        <f>VLOOKUP(A38,'Main Data File'!$C$4:$U$146,13,FALSE)</f>
        <v>0</v>
      </c>
      <c r="BA38" s="135">
        <f>VLOOKUP(A38,'Main Data File'!$C$4:$U$146,14,FALSE)</f>
        <v>0</v>
      </c>
      <c r="BB38" s="135">
        <f>VLOOKUP(A38,'Main Data File'!$C$4:$U$146,15,FALSE)</f>
        <v>0</v>
      </c>
    </row>
    <row r="39" spans="1:54" ht="54" hidden="1" customHeight="1">
      <c r="A39" s="16" t="s">
        <v>296</v>
      </c>
      <c r="B39" s="16" t="str">
        <f>VLOOKUP(A39,'Main Data File'!$C$4:$U$146,19,FALSE)</f>
        <v>Boyd</v>
      </c>
      <c r="C39" s="16"/>
      <c r="D39" s="16"/>
      <c r="E39" s="129"/>
      <c r="F39" s="129" t="s">
        <v>756</v>
      </c>
      <c r="G39" s="130" t="str">
        <f>VLOOKUP(A39,'Main Data File'!$C$4:$U$146,17,FALSE)</f>
        <v>RV-483B</v>
      </c>
      <c r="H39" s="129"/>
      <c r="I39" s="12" t="str">
        <f>VLOOKUP(A39,'Main Data File'!$C$4:$U$146,2,FALSE)</f>
        <v>Adapter Plug With 25" Cord</v>
      </c>
      <c r="J39" s="12" t="str">
        <f>VLOOKUP(A39,'Main Data File'!$C$4:$U$146,18,FALSE)</f>
        <v>Modify USH instructions</v>
      </c>
      <c r="K39" s="129" t="s">
        <v>71</v>
      </c>
      <c r="L39" s="129"/>
      <c r="M39" s="129"/>
      <c r="N39" s="129"/>
      <c r="O39" s="129">
        <f>VLOOKUP(A39,'Main Data File'!$C$4:$U$146,3,FALSE)</f>
        <v>7.5</v>
      </c>
      <c r="P39" s="129">
        <f>VLOOKUP(A39,'Main Data File'!$C$4:$U$146,5,FALSE)</f>
        <v>5</v>
      </c>
      <c r="Q39" s="129">
        <f>VLOOKUP(A39,'Main Data File'!$C$4:$U$146,4,FALSE)</f>
        <v>2</v>
      </c>
      <c r="R39" s="129">
        <f>VLOOKUP(A39,'Main Data File'!$C$4:$U$146,6,FALSE)</f>
        <v>1</v>
      </c>
      <c r="S39" s="131">
        <f>VLOOKUP(A39,'Main Data File'!$C$4:$U$146,7,FALSE)</f>
        <v>4.3402777777777776E-2</v>
      </c>
      <c r="T39" s="129" t="str">
        <f>VLOOKUP(A39,'Main Data File'!$C$4:$U$146,8,FALSE)</f>
        <v>Bagged</v>
      </c>
      <c r="U39" s="129"/>
      <c r="V39" s="129"/>
      <c r="W39" s="129"/>
      <c r="X39" s="129"/>
      <c r="Y39" s="129"/>
      <c r="Z39" s="129"/>
      <c r="AA39" s="129"/>
      <c r="AB39" s="129"/>
      <c r="AC39" s="129"/>
      <c r="AD39" s="129"/>
      <c r="AE39" s="129"/>
      <c r="AF39" s="129"/>
      <c r="AG39" s="129"/>
      <c r="AH39" s="129"/>
      <c r="AI39" s="129"/>
      <c r="AJ39" s="129"/>
      <c r="AK39" s="129"/>
      <c r="AL39" s="129"/>
      <c r="AM39" s="129"/>
      <c r="AN39" s="129"/>
      <c r="AO39" s="129"/>
      <c r="AP39" s="10"/>
      <c r="AQ39" s="132">
        <f>VLOOKUP(A39,'Main Data File'!$C$4:$U$146,10,FALSE)</f>
        <v>340.00000000000006</v>
      </c>
      <c r="AR39" s="133" t="e">
        <f>VLOOKUP(A39,#REF!,44,FALSE)</f>
        <v>#REF!</v>
      </c>
      <c r="AS39" s="133" t="e">
        <f>VLOOKUP(A39,#REF!,24,FALSE)</f>
        <v>#REF!</v>
      </c>
      <c r="AT39" s="129"/>
      <c r="AU39" s="134" t="e">
        <f t="shared" si="0"/>
        <v>#REF!</v>
      </c>
      <c r="AV39" s="139"/>
      <c r="AW39" s="133" t="e">
        <f>VLOOKUP(A39,#REF!,25,FALSE)</f>
        <v>#REF!</v>
      </c>
      <c r="AX39" s="133" t="e">
        <f>VLOOKUP(A39,'Lowe''s final SKU list'!$C$2:$Q$99,2,FALSE)</f>
        <v>#N/A</v>
      </c>
      <c r="AY39" s="135" t="str">
        <f>VLOOKUP(A39,'Main Data File'!$C$4:$U$146,16,FALSE)</f>
        <v>x</v>
      </c>
      <c r="AZ39" s="135">
        <f>VLOOKUP(A39,'Main Data File'!$C$4:$U$146,13,FALSE)</f>
        <v>0</v>
      </c>
      <c r="BA39" s="135">
        <f>VLOOKUP(A39,'Main Data File'!$C$4:$U$146,14,FALSE)</f>
        <v>0</v>
      </c>
      <c r="BB39" s="135">
        <f>VLOOKUP(A39,'Main Data File'!$C$4:$U$146,15,FALSE)</f>
        <v>0</v>
      </c>
    </row>
    <row r="40" spans="1:54" ht="54" customHeight="1">
      <c r="A40" s="16" t="s">
        <v>116</v>
      </c>
      <c r="B40" s="16" t="str">
        <f>VLOOKUP(A40,'Main Data File'!$C$4:$U$146,19,FALSE)</f>
        <v>Andy</v>
      </c>
      <c r="C40" s="16"/>
      <c r="D40" s="16"/>
      <c r="E40" s="129"/>
      <c r="F40" s="129" t="s">
        <v>757</v>
      </c>
      <c r="G40" s="130" t="str">
        <f>VLOOKUP(A40,'Main Data File'!$C$4:$U$146,17,FALSE)</f>
        <v>RV-200C</v>
      </c>
      <c r="H40" s="129"/>
      <c r="I40" s="12" t="str">
        <f>VLOOKUP(A40,'Main Data File'!$C$4:$U$146,2,FALSE)</f>
        <v>Blow Out Plug</v>
      </c>
      <c r="J40" s="12" t="str">
        <f>VLOOKUP(A40,'Main Data File'!$C$4:$U$146,18,FALSE)</f>
        <v>Modify USH instructions</v>
      </c>
      <c r="K40" s="129" t="s">
        <v>71</v>
      </c>
      <c r="L40" s="129"/>
      <c r="M40" s="129"/>
      <c r="N40" s="129"/>
      <c r="O40" s="129">
        <f>VLOOKUP(A40,'Main Data File'!$C$4:$U$146,3,FALSE)</f>
        <v>5.7</v>
      </c>
      <c r="P40" s="129">
        <f>VLOOKUP(A40,'Main Data File'!$C$4:$U$146,5,FALSE)</f>
        <v>1</v>
      </c>
      <c r="Q40" s="129">
        <f>VLOOKUP(A40,'Main Data File'!$C$4:$U$146,4,FALSE)</f>
        <v>3.65</v>
      </c>
      <c r="R40" s="129">
        <f>VLOOKUP(A40,'Main Data File'!$C$4:$U$146,6,FALSE)</f>
        <v>0.1</v>
      </c>
      <c r="S40" s="131">
        <f>VLOOKUP(A40,'Main Data File'!$C$4:$U$146,7,FALSE)</f>
        <v>1.2039930555555555E-2</v>
      </c>
      <c r="T40" s="129" t="str">
        <f>VLOOKUP(A40,'Main Data File'!$C$4:$U$146,8,FALSE)</f>
        <v>Heat Formed Plastic</v>
      </c>
      <c r="U40" s="129"/>
      <c r="V40" s="129"/>
      <c r="W40" s="129"/>
      <c r="X40" s="129"/>
      <c r="Y40" s="129"/>
      <c r="Z40" s="129"/>
      <c r="AA40" s="129"/>
      <c r="AB40" s="129"/>
      <c r="AC40" s="129"/>
      <c r="AD40" s="129"/>
      <c r="AE40" s="129"/>
      <c r="AF40" s="129"/>
      <c r="AG40" s="129"/>
      <c r="AH40" s="129"/>
      <c r="AI40" s="129"/>
      <c r="AJ40" s="129"/>
      <c r="AK40" s="129"/>
      <c r="AL40" s="129"/>
      <c r="AM40" s="129"/>
      <c r="AN40" s="129"/>
      <c r="AO40" s="129"/>
      <c r="AP40" s="10"/>
      <c r="AQ40" s="132">
        <f>VLOOKUP(A40,'Main Data File'!$C$4:$U$146,10,FALSE)</f>
        <v>7995</v>
      </c>
      <c r="AR40" s="133" t="e">
        <f>VLOOKUP(A40,#REF!,44,FALSE)</f>
        <v>#REF!</v>
      </c>
      <c r="AS40" s="133" t="e">
        <f>VLOOKUP(A40,#REF!,24,FALSE)</f>
        <v>#REF!</v>
      </c>
      <c r="AT40" s="129"/>
      <c r="AU40" s="134" t="e">
        <f t="shared" si="0"/>
        <v>#REF!</v>
      </c>
      <c r="AV40" s="139"/>
      <c r="AW40" s="133" t="e">
        <f>VLOOKUP(A40,#REF!,25,FALSE)</f>
        <v>#REF!</v>
      </c>
      <c r="AX40" s="133" t="str">
        <f>VLOOKUP(A40,'Lowe''s final SKU list'!$C$2:$Q$99,2,FALSE)</f>
        <v>YES</v>
      </c>
      <c r="AY40" s="135" t="str">
        <f>VLOOKUP(A40,'Main Data File'!$C$4:$U$146,16,FALSE)</f>
        <v>x</v>
      </c>
      <c r="AZ40" s="135" t="str">
        <f>VLOOKUP(A40,'Main Data File'!$C$4:$U$146,13,FALSE)</f>
        <v>x</v>
      </c>
      <c r="BA40" s="135">
        <f>VLOOKUP(A40,'Main Data File'!$C$4:$U$146,14,FALSE)</f>
        <v>0</v>
      </c>
      <c r="BB40" s="135" t="str">
        <f>VLOOKUP(A40,'Main Data File'!$C$4:$U$146,15,FALSE)</f>
        <v>x</v>
      </c>
    </row>
    <row r="41" spans="1:54" ht="54" customHeight="1">
      <c r="A41" s="16" t="s">
        <v>117</v>
      </c>
      <c r="B41" s="16" t="str">
        <f>VLOOKUP(A41,'Main Data File'!$C$4:$U$146,19,FALSE)</f>
        <v>Boyd</v>
      </c>
      <c r="C41" s="16"/>
      <c r="D41" s="16"/>
      <c r="E41" s="129"/>
      <c r="F41" s="129" t="s">
        <v>758</v>
      </c>
      <c r="G41" s="130" t="str">
        <f>VLOOKUP(A41,'Main Data File'!$C$4:$U$146,17,FALSE)</f>
        <v>RV-358C</v>
      </c>
      <c r="H41" s="129"/>
      <c r="I41" s="12" t="str">
        <f>VLOOKUP(A41,'Main Data File'!$C$4:$U$146,2,FALSE)</f>
        <v xml:space="preserve">Flat 4 Way Connector With 12" Wires </v>
      </c>
      <c r="J41" s="12" t="str">
        <f>VLOOKUP(A41,'Main Data File'!$C$4:$U$146,18,FALSE)</f>
        <v>Modify USH instructions</v>
      </c>
      <c r="K41" s="129" t="s">
        <v>71</v>
      </c>
      <c r="L41" s="129"/>
      <c r="M41" s="129"/>
      <c r="N41" s="129"/>
      <c r="O41" s="129">
        <f>VLOOKUP(A41,'Main Data File'!$C$4:$U$146,3,FALSE)</f>
        <v>5.7</v>
      </c>
      <c r="P41" s="129">
        <f>VLOOKUP(A41,'Main Data File'!$C$4:$U$146,5,FALSE)</f>
        <v>1</v>
      </c>
      <c r="Q41" s="129">
        <f>VLOOKUP(A41,'Main Data File'!$C$4:$U$146,4,FALSE)</f>
        <v>3.65</v>
      </c>
      <c r="R41" s="129">
        <f>VLOOKUP(A41,'Main Data File'!$C$4:$U$146,6,FALSE)</f>
        <v>0.1</v>
      </c>
      <c r="S41" s="131">
        <f>VLOOKUP(A41,'Main Data File'!$C$4:$U$146,7,FALSE)</f>
        <v>1.2039930555555555E-2</v>
      </c>
      <c r="T41" s="129" t="str">
        <f>VLOOKUP(A41,'Main Data File'!$C$4:$U$146,8,FALSE)</f>
        <v>Heat Formed Plastic</v>
      </c>
      <c r="U41" s="129"/>
      <c r="V41" s="129"/>
      <c r="W41" s="129"/>
      <c r="X41" s="129"/>
      <c r="Y41" s="129"/>
      <c r="Z41" s="129"/>
      <c r="AA41" s="129"/>
      <c r="AB41" s="129"/>
      <c r="AC41" s="129"/>
      <c r="AD41" s="129"/>
      <c r="AE41" s="129"/>
      <c r="AF41" s="129"/>
      <c r="AG41" s="129"/>
      <c r="AH41" s="129"/>
      <c r="AI41" s="129"/>
      <c r="AJ41" s="129"/>
      <c r="AK41" s="129"/>
      <c r="AL41" s="129"/>
      <c r="AM41" s="129"/>
      <c r="AN41" s="129"/>
      <c r="AO41" s="129"/>
      <c r="AP41" s="10"/>
      <c r="AQ41" s="132">
        <f>VLOOKUP(A41,'Main Data File'!$C$4:$U$146,10,FALSE)</f>
        <v>12024.000000000002</v>
      </c>
      <c r="AR41" s="133" t="e">
        <f>VLOOKUP(A41,#REF!,44,FALSE)</f>
        <v>#REF!</v>
      </c>
      <c r="AS41" s="133" t="e">
        <f>VLOOKUP(A41,#REF!,24,FALSE)</f>
        <v>#REF!</v>
      </c>
      <c r="AT41" s="129"/>
      <c r="AU41" s="134" t="e">
        <f t="shared" si="0"/>
        <v>#REF!</v>
      </c>
      <c r="AV41" s="139"/>
      <c r="AW41" s="133" t="e">
        <f>VLOOKUP(A41,#REF!,25,FALSE)</f>
        <v>#REF!</v>
      </c>
      <c r="AX41" s="133" t="str">
        <f>VLOOKUP(A41,'Lowe''s final SKU list'!$C$2:$Q$99,2,FALSE)</f>
        <v>YES</v>
      </c>
      <c r="AY41" s="135" t="str">
        <f>VLOOKUP(A41,'Main Data File'!$C$4:$U$146,16,FALSE)</f>
        <v>x</v>
      </c>
      <c r="AZ41" s="135" t="str">
        <f>VLOOKUP(A41,'Main Data File'!$C$4:$U$146,13,FALSE)</f>
        <v>x</v>
      </c>
      <c r="BA41" s="135">
        <f>VLOOKUP(A41,'Main Data File'!$C$4:$U$146,14,FALSE)</f>
        <v>0</v>
      </c>
      <c r="BB41" s="135">
        <f>VLOOKUP(A41,'Main Data File'!$C$4:$U$146,15,FALSE)</f>
        <v>0</v>
      </c>
    </row>
    <row r="42" spans="1:54" ht="54" customHeight="1">
      <c r="A42" s="16" t="s">
        <v>118</v>
      </c>
      <c r="B42" s="16" t="str">
        <f>VLOOKUP(A42,'Main Data File'!$C$4:$U$146,19,FALSE)</f>
        <v>Mike</v>
      </c>
      <c r="C42" s="16"/>
      <c r="D42" s="16"/>
      <c r="E42" s="129"/>
      <c r="F42" s="129" t="s">
        <v>759</v>
      </c>
      <c r="G42" s="130" t="str">
        <f>VLOOKUP(A42,'Main Data File'!$C$4:$U$146,17,FALSE)</f>
        <v>41971</v>
      </c>
      <c r="H42" s="129"/>
      <c r="I42" s="12" t="str">
        <f>VLOOKUP(A42,'Main Data File'!$C$4:$U$146,2,FALSE)</f>
        <v>Window Tilt Latch Assy 2RH + 2LH</v>
      </c>
      <c r="J42" s="12" t="str">
        <f>VLOOKUP(A42,'Main Data File'!$C$4:$U$146,18,FALSE)</f>
        <v>Use back of World and Main card</v>
      </c>
      <c r="K42" s="129" t="s">
        <v>71</v>
      </c>
      <c r="L42" s="129"/>
      <c r="M42" s="129"/>
      <c r="N42" s="129"/>
      <c r="O42" s="129">
        <f>VLOOKUP(A42,'Main Data File'!$C$4:$U$146,3,FALSE)</f>
        <v>5.7</v>
      </c>
      <c r="P42" s="129">
        <f>VLOOKUP(A42,'Main Data File'!$C$4:$U$146,5,FALSE)</f>
        <v>1.77</v>
      </c>
      <c r="Q42" s="129">
        <f>VLOOKUP(A42,'Main Data File'!$C$4:$U$146,4,FALSE)</f>
        <v>3.65</v>
      </c>
      <c r="R42" s="129">
        <f>VLOOKUP(A42,'Main Data File'!$C$4:$U$146,6,FALSE)</f>
        <v>0.18</v>
      </c>
      <c r="S42" s="131">
        <f>VLOOKUP(A42,'Main Data File'!$C$4:$U$146,7,FALSE)</f>
        <v>2.1310677083333333E-2</v>
      </c>
      <c r="T42" s="129" t="str">
        <f>VLOOKUP(A42,'Main Data File'!$C$4:$U$146,8,FALSE)</f>
        <v>Heat Formed Plastic</v>
      </c>
      <c r="U42" s="129"/>
      <c r="V42" s="129"/>
      <c r="W42" s="129"/>
      <c r="X42" s="129"/>
      <c r="Y42" s="129"/>
      <c r="Z42" s="129"/>
      <c r="AA42" s="129"/>
      <c r="AB42" s="129"/>
      <c r="AC42" s="129"/>
      <c r="AD42" s="129"/>
      <c r="AE42" s="129"/>
      <c r="AF42" s="129"/>
      <c r="AG42" s="129"/>
      <c r="AH42" s="129"/>
      <c r="AI42" s="129"/>
      <c r="AJ42" s="129"/>
      <c r="AK42" s="129"/>
      <c r="AL42" s="129"/>
      <c r="AM42" s="129"/>
      <c r="AN42" s="129"/>
      <c r="AO42" s="129"/>
      <c r="AP42" s="10"/>
      <c r="AQ42" s="132">
        <f>VLOOKUP(A42,'Main Data File'!$C$4:$U$146,10,FALSE)</f>
        <v>920</v>
      </c>
      <c r="AR42" s="133" t="e">
        <f>VLOOKUP(A42,#REF!,44,FALSE)</f>
        <v>#REF!</v>
      </c>
      <c r="AS42" s="133" t="e">
        <f>VLOOKUP(A42,#REF!,24,FALSE)</f>
        <v>#REF!</v>
      </c>
      <c r="AT42" s="129"/>
      <c r="AU42" s="134" t="e">
        <f t="shared" si="0"/>
        <v>#REF!</v>
      </c>
      <c r="AV42" s="139"/>
      <c r="AW42" s="133" t="e">
        <f>VLOOKUP(A42,#REF!,25,FALSE)</f>
        <v>#REF!</v>
      </c>
      <c r="AX42" s="133" t="str">
        <f>VLOOKUP(A42,'Lowe''s final SKU list'!$C$2:$Q$99,2,FALSE)</f>
        <v>YES</v>
      </c>
      <c r="AY42" s="135" t="str">
        <f>VLOOKUP(A42,'Main Data File'!$C$4:$U$146,16,FALSE)</f>
        <v>x</v>
      </c>
      <c r="AZ42" s="135">
        <f>VLOOKUP(A42,'Main Data File'!$C$4:$U$146,13,FALSE)</f>
        <v>0</v>
      </c>
      <c r="BA42" s="135" t="str">
        <f>VLOOKUP(A42,'Main Data File'!$C$4:$U$146,14,FALSE)</f>
        <v>x</v>
      </c>
      <c r="BB42" s="135">
        <f>VLOOKUP(A42,'Main Data File'!$C$4:$U$146,15,FALSE)</f>
        <v>0</v>
      </c>
    </row>
    <row r="43" spans="1:54" ht="54" customHeight="1">
      <c r="A43" s="16" t="s">
        <v>120</v>
      </c>
      <c r="B43" s="16" t="str">
        <f>VLOOKUP(A43,'Main Data File'!$C$4:$U$146,19,FALSE)</f>
        <v>Andy</v>
      </c>
      <c r="C43" s="16"/>
      <c r="D43" s="16"/>
      <c r="E43" s="129"/>
      <c r="F43" s="129" t="s">
        <v>760</v>
      </c>
      <c r="G43" s="130" t="str">
        <f>VLOOKUP(A43,'Main Data File'!$C$4:$U$146,17,FALSE)</f>
        <v>C1831</v>
      </c>
      <c r="H43" s="129"/>
      <c r="I43" s="12" t="str">
        <f>VLOOKUP(A43,'Main Data File'!$C$4:$U$146,2,FALSE)</f>
        <v>CP Bath Drain Touch-Toe</v>
      </c>
      <c r="J43" s="12" t="str">
        <f>VLOOKUP(A43,'Main Data File'!$C$4:$U$146,18,FALSE)</f>
        <v>Use back of World and Main card</v>
      </c>
      <c r="K43" s="129" t="s">
        <v>71</v>
      </c>
      <c r="L43" s="129"/>
      <c r="M43" s="129"/>
      <c r="N43" s="129"/>
      <c r="O43" s="129">
        <f>VLOOKUP(A43,'Main Data File'!$C$4:$U$146,3,FALSE)</f>
        <v>5.7</v>
      </c>
      <c r="P43" s="129">
        <f>VLOOKUP(A43,'Main Data File'!$C$4:$U$146,5,FALSE)</f>
        <v>2.5</v>
      </c>
      <c r="Q43" s="129">
        <f>VLOOKUP(A43,'Main Data File'!$C$4:$U$146,4,FALSE)</f>
        <v>3.65</v>
      </c>
      <c r="R43" s="129">
        <f>VLOOKUP(A43,'Main Data File'!$C$4:$U$146,6,FALSE)</f>
        <v>0.36</v>
      </c>
      <c r="S43" s="131">
        <f>VLOOKUP(A43,'Main Data File'!$C$4:$U$146,7,FALSE)</f>
        <v>3.009982638888889E-2</v>
      </c>
      <c r="T43" s="129" t="str">
        <f>VLOOKUP(A43,'Main Data File'!$C$4:$U$146,8,FALSE)</f>
        <v>Heat Formed Plastic</v>
      </c>
      <c r="U43" s="129"/>
      <c r="V43" s="129"/>
      <c r="W43" s="129"/>
      <c r="X43" s="129"/>
      <c r="Y43" s="129"/>
      <c r="Z43" s="129"/>
      <c r="AA43" s="129"/>
      <c r="AB43" s="129"/>
      <c r="AC43" s="129"/>
      <c r="AD43" s="129"/>
      <c r="AE43" s="129"/>
      <c r="AF43" s="129"/>
      <c r="AG43" s="129"/>
      <c r="AH43" s="129"/>
      <c r="AI43" s="129"/>
      <c r="AJ43" s="129"/>
      <c r="AK43" s="129"/>
      <c r="AL43" s="129"/>
      <c r="AM43" s="129"/>
      <c r="AN43" s="129"/>
      <c r="AO43" s="129"/>
      <c r="AP43" s="10"/>
      <c r="AQ43" s="132">
        <f>VLOOKUP(A43,'Main Data File'!$C$4:$U$146,10,FALSE)</f>
        <v>340.00000000000006</v>
      </c>
      <c r="AR43" s="133" t="e">
        <f>VLOOKUP(A43,#REF!,44,FALSE)</f>
        <v>#REF!</v>
      </c>
      <c r="AS43" s="133" t="e">
        <f>VLOOKUP(A43,#REF!,24,FALSE)</f>
        <v>#REF!</v>
      </c>
      <c r="AT43" s="129"/>
      <c r="AU43" s="134" t="e">
        <f t="shared" si="0"/>
        <v>#REF!</v>
      </c>
      <c r="AV43" s="139"/>
      <c r="AW43" s="133" t="e">
        <f>VLOOKUP(A43,#REF!,25,FALSE)</f>
        <v>#REF!</v>
      </c>
      <c r="AX43" s="133" t="str">
        <f>VLOOKUP(A43,'Lowe''s final SKU list'!$C$2:$Q$99,2,FALSE)</f>
        <v>YES</v>
      </c>
      <c r="AY43" s="135" t="str">
        <f>VLOOKUP(A43,'Main Data File'!$C$4:$U$146,16,FALSE)</f>
        <v>x</v>
      </c>
      <c r="AZ43" s="135">
        <f>VLOOKUP(A43,'Main Data File'!$C$4:$U$146,13,FALSE)</f>
        <v>0</v>
      </c>
      <c r="BA43" s="135">
        <f>VLOOKUP(A43,'Main Data File'!$C$4:$U$146,14,FALSE)</f>
        <v>0</v>
      </c>
      <c r="BB43" s="135">
        <f>VLOOKUP(A43,'Main Data File'!$C$4:$U$146,15,FALSE)</f>
        <v>0</v>
      </c>
    </row>
    <row r="44" spans="1:54" ht="54" customHeight="1">
      <c r="A44" s="17" t="s">
        <v>121</v>
      </c>
      <c r="B44" s="16" t="str">
        <f>VLOOKUP(A44,'Main Data File'!$C$4:$U$146,19,FALSE)</f>
        <v>Andy</v>
      </c>
      <c r="C44" s="16"/>
      <c r="D44" s="16"/>
      <c r="E44" s="129"/>
      <c r="F44" s="129" t="s">
        <v>761</v>
      </c>
      <c r="G44" s="130" t="str">
        <f>VLOOKUP(A44,'Main Data File'!$C$4:$U$146,17,FALSE)</f>
        <v>C1830</v>
      </c>
      <c r="H44" s="129"/>
      <c r="I44" s="12" t="str">
        <f>VLOOKUP(A44,'Main Data File'!$C$4:$U$146,2,FALSE)</f>
        <v>CP Bath Drain Grid Strainer Style</v>
      </c>
      <c r="J44" s="12" t="str">
        <f>VLOOKUP(A44,'Main Data File'!$C$4:$U$146,18,FALSE)</f>
        <v>Use back of World and Main card</v>
      </c>
      <c r="K44" s="129" t="s">
        <v>71</v>
      </c>
      <c r="L44" s="129"/>
      <c r="M44" s="129"/>
      <c r="N44" s="129"/>
      <c r="O44" s="129">
        <f>VLOOKUP(A44,'Main Data File'!$C$4:$U$146,3,FALSE)</f>
        <v>5.7</v>
      </c>
      <c r="P44" s="129">
        <f>VLOOKUP(A44,'Main Data File'!$C$4:$U$146,5,FALSE)</f>
        <v>1.5</v>
      </c>
      <c r="Q44" s="129">
        <f>VLOOKUP(A44,'Main Data File'!$C$4:$U$146,4,FALSE)</f>
        <v>3.65</v>
      </c>
      <c r="R44" s="129">
        <f>VLOOKUP(A44,'Main Data File'!$C$4:$U$146,6,FALSE)</f>
        <v>0.34</v>
      </c>
      <c r="S44" s="131">
        <f>VLOOKUP(A44,'Main Data File'!$C$4:$U$146,7,FALSE)</f>
        <v>1.8059895833333332E-2</v>
      </c>
      <c r="T44" s="129" t="str">
        <f>VLOOKUP(A44,'Main Data File'!$C$4:$U$146,8,FALSE)</f>
        <v>Heat Formed Plastic</v>
      </c>
      <c r="U44" s="129"/>
      <c r="V44" s="129"/>
      <c r="W44" s="129"/>
      <c r="X44" s="129"/>
      <c r="Y44" s="129"/>
      <c r="Z44" s="129"/>
      <c r="AA44" s="129"/>
      <c r="AB44" s="129"/>
      <c r="AC44" s="129"/>
      <c r="AD44" s="129"/>
      <c r="AE44" s="129"/>
      <c r="AF44" s="129"/>
      <c r="AG44" s="129"/>
      <c r="AH44" s="129"/>
      <c r="AI44" s="129"/>
      <c r="AJ44" s="129"/>
      <c r="AK44" s="129"/>
      <c r="AL44" s="129"/>
      <c r="AM44" s="129"/>
      <c r="AN44" s="129"/>
      <c r="AO44" s="129"/>
      <c r="AP44" s="11"/>
      <c r="AQ44" s="132">
        <f>VLOOKUP(A44,'Main Data File'!$C$4:$U$146,10,FALSE)</f>
        <v>340.00000000000006</v>
      </c>
      <c r="AR44" s="133" t="e">
        <f>VLOOKUP(A44,#REF!,44,FALSE)</f>
        <v>#REF!</v>
      </c>
      <c r="AS44" s="133" t="e">
        <f>VLOOKUP(A44,#REF!,24,FALSE)</f>
        <v>#REF!</v>
      </c>
      <c r="AT44" s="129"/>
      <c r="AU44" s="134" t="e">
        <f t="shared" si="0"/>
        <v>#REF!</v>
      </c>
      <c r="AV44" s="139"/>
      <c r="AW44" s="133" t="e">
        <f>VLOOKUP(A44,#REF!,25,FALSE)</f>
        <v>#REF!</v>
      </c>
      <c r="AX44" s="133" t="str">
        <f>VLOOKUP(A44,'Lowe''s final SKU list'!$C$2:$Q$99,2,FALSE)</f>
        <v>YES</v>
      </c>
      <c r="AY44" s="135" t="str">
        <f>VLOOKUP(A44,'Main Data File'!$C$4:$U$146,16,FALSE)</f>
        <v>x</v>
      </c>
      <c r="AZ44" s="135">
        <f>VLOOKUP(A44,'Main Data File'!$C$4:$U$146,13,FALSE)</f>
        <v>0</v>
      </c>
      <c r="BA44" s="135">
        <f>VLOOKUP(A44,'Main Data File'!$C$4:$U$146,14,FALSE)</f>
        <v>0</v>
      </c>
      <c r="BB44" s="135">
        <f>VLOOKUP(A44,'Main Data File'!$C$4:$U$146,15,FALSE)</f>
        <v>0</v>
      </c>
    </row>
    <row r="45" spans="1:54" ht="54" hidden="1" customHeight="1">
      <c r="A45" s="16" t="s">
        <v>308</v>
      </c>
      <c r="B45" s="16" t="str">
        <f>VLOOKUP(A45,'Main Data File'!$C$4:$U$146,19,FALSE)</f>
        <v>Andy</v>
      </c>
      <c r="C45" s="16"/>
      <c r="D45" s="16"/>
      <c r="E45" s="129"/>
      <c r="F45" s="129">
        <v>606330</v>
      </c>
      <c r="G45" s="130">
        <f>VLOOKUP(A45,'Main Data File'!$C$4:$U$146,17,FALSE)</f>
        <v>2115</v>
      </c>
      <c r="H45" s="129"/>
      <c r="I45" s="12" t="str">
        <f>VLOOKUP(A45,'Main Data File'!$C$4:$U$146,2,FALSE)</f>
        <v>S.S. Kitchen Sink Strainer Assembly Complete</v>
      </c>
      <c r="J45" s="12" t="str">
        <f>VLOOKUP(A45,'Main Data File'!$C$4:$U$146,18,FALSE)</f>
        <v>Write from scratch</v>
      </c>
      <c r="K45" s="129" t="s">
        <v>71</v>
      </c>
      <c r="L45" s="129"/>
      <c r="M45" s="129"/>
      <c r="N45" s="129"/>
      <c r="O45" s="129">
        <f>VLOOKUP(A45,'Main Data File'!$C$4:$U$146,3,FALSE)</f>
        <v>7.87</v>
      </c>
      <c r="P45" s="129">
        <f>VLOOKUP(A45,'Main Data File'!$C$4:$U$146,5,FALSE)</f>
        <v>3</v>
      </c>
      <c r="Q45" s="129">
        <f>VLOOKUP(A45,'Main Data File'!$C$4:$U$146,4,FALSE)</f>
        <v>5</v>
      </c>
      <c r="R45" s="129">
        <f>VLOOKUP(A45,'Main Data File'!$C$4:$U$146,6,FALSE)</f>
        <v>0.62</v>
      </c>
      <c r="S45" s="131">
        <f>VLOOKUP(A45,'Main Data File'!$C$4:$U$146,7,FALSE)</f>
        <v>6.8315972222222229E-2</v>
      </c>
      <c r="T45" s="129" t="str">
        <f>VLOOKUP(A45,'Main Data File'!$C$4:$U$146,8,FALSE)</f>
        <v>Heat Formed Plastic</v>
      </c>
      <c r="U45" s="129"/>
      <c r="V45" s="129"/>
      <c r="W45" s="129"/>
      <c r="X45" s="129"/>
      <c r="Y45" s="129"/>
      <c r="Z45" s="129"/>
      <c r="AA45" s="129"/>
      <c r="AB45" s="129"/>
      <c r="AC45" s="129"/>
      <c r="AD45" s="129"/>
      <c r="AE45" s="129"/>
      <c r="AF45" s="129"/>
      <c r="AG45" s="129"/>
      <c r="AH45" s="129"/>
      <c r="AI45" s="129"/>
      <c r="AJ45" s="129"/>
      <c r="AK45" s="129"/>
      <c r="AL45" s="129"/>
      <c r="AM45" s="129"/>
      <c r="AN45" s="129"/>
      <c r="AO45" s="129"/>
      <c r="AP45" s="10"/>
      <c r="AQ45" s="132">
        <f>VLOOKUP(A45,'Main Data File'!$C$4:$U$146,10,FALSE)</f>
        <v>12952</v>
      </c>
      <c r="AR45" s="133" t="e">
        <f>VLOOKUP(A45,#REF!,44,FALSE)</f>
        <v>#REF!</v>
      </c>
      <c r="AS45" s="133" t="e">
        <f>VLOOKUP(A45,#REF!,24,FALSE)</f>
        <v>#REF!</v>
      </c>
      <c r="AT45" s="129"/>
      <c r="AU45" s="134" t="e">
        <f t="shared" si="0"/>
        <v>#REF!</v>
      </c>
      <c r="AV45" s="139"/>
      <c r="AW45" s="133" t="e">
        <f>VLOOKUP(A45,#REF!,25,FALSE)</f>
        <v>#REF!</v>
      </c>
      <c r="AX45" s="133" t="e">
        <f>VLOOKUP(A45,'Lowe''s final SKU list'!$C$2:$Q$99,2,FALSE)</f>
        <v>#N/A</v>
      </c>
      <c r="AY45" s="135">
        <f>VLOOKUP(A45,'Main Data File'!$C$4:$U$146,16,FALSE)</f>
        <v>0</v>
      </c>
      <c r="AZ45" s="135">
        <f>VLOOKUP(A45,'Main Data File'!$C$4:$U$146,13,FALSE)</f>
        <v>0</v>
      </c>
      <c r="BA45" s="135">
        <f>VLOOKUP(A45,'Main Data File'!$C$4:$U$146,14,FALSE)</f>
        <v>0</v>
      </c>
      <c r="BB45" s="135">
        <f>VLOOKUP(A45,'Main Data File'!$C$4:$U$146,15,FALSE)</f>
        <v>0</v>
      </c>
    </row>
    <row r="46" spans="1:54" ht="54" hidden="1" customHeight="1">
      <c r="A46" s="16" t="s">
        <v>312</v>
      </c>
      <c r="B46" s="16" t="str">
        <f>VLOOKUP(A46,'Main Data File'!$C$4:$U$146,19,FALSE)</f>
        <v>Andy</v>
      </c>
      <c r="C46" s="16"/>
      <c r="D46" s="16"/>
      <c r="E46" s="129"/>
      <c r="F46" s="129" t="s">
        <v>762</v>
      </c>
      <c r="G46" s="130" t="str">
        <f>VLOOKUP(A46,'Main Data File'!$C$4:$U$146,17,FALSE)</f>
        <v>2100P</v>
      </c>
      <c r="H46" s="129"/>
      <c r="I46" s="12" t="str">
        <f>VLOOKUP(A46,'Main Data File'!$C$4:$U$146,2,FALSE)</f>
        <v>Plastic Kitchen Sink Strainer Assembly S.S. Exposed Parts</v>
      </c>
      <c r="J46" s="12" t="str">
        <f>VLOOKUP(A46,'Main Data File'!$C$4:$U$146,18,FALSE)</f>
        <v>Write from scratch</v>
      </c>
      <c r="K46" s="129" t="s">
        <v>71</v>
      </c>
      <c r="L46" s="129"/>
      <c r="M46" s="129"/>
      <c r="N46" s="129"/>
      <c r="O46" s="129">
        <f>VLOOKUP(A46,'Main Data File'!$C$4:$U$146,3,FALSE)</f>
        <v>7.87</v>
      </c>
      <c r="P46" s="129">
        <f>VLOOKUP(A46,'Main Data File'!$C$4:$U$146,5,FALSE)</f>
        <v>3</v>
      </c>
      <c r="Q46" s="129">
        <f>VLOOKUP(A46,'Main Data File'!$C$4:$U$146,4,FALSE)</f>
        <v>5</v>
      </c>
      <c r="R46" s="129">
        <f>VLOOKUP(A46,'Main Data File'!$C$4:$U$146,6,FALSE)</f>
        <v>0.4</v>
      </c>
      <c r="S46" s="131">
        <f>VLOOKUP(A46,'Main Data File'!$C$4:$U$146,7,FALSE)</f>
        <v>6.8315972222222229E-2</v>
      </c>
      <c r="T46" s="129" t="str">
        <f>VLOOKUP(A46,'Main Data File'!$C$4:$U$146,8,FALSE)</f>
        <v>Heat Formed Plastic</v>
      </c>
      <c r="U46" s="129"/>
      <c r="V46" s="129"/>
      <c r="W46" s="129"/>
      <c r="X46" s="129"/>
      <c r="Y46" s="129"/>
      <c r="Z46" s="129"/>
      <c r="AA46" s="129"/>
      <c r="AB46" s="129"/>
      <c r="AC46" s="129"/>
      <c r="AD46" s="129"/>
      <c r="AE46" s="129"/>
      <c r="AF46" s="129"/>
      <c r="AG46" s="129"/>
      <c r="AH46" s="129"/>
      <c r="AI46" s="129"/>
      <c r="AJ46" s="129"/>
      <c r="AK46" s="129"/>
      <c r="AL46" s="129"/>
      <c r="AM46" s="129"/>
      <c r="AN46" s="129"/>
      <c r="AO46" s="129"/>
      <c r="AP46" s="10"/>
      <c r="AQ46" s="132">
        <f>VLOOKUP(A46,'Main Data File'!$C$4:$U$146,10,FALSE)</f>
        <v>1840</v>
      </c>
      <c r="AR46" s="133" t="e">
        <f>VLOOKUP(A46,#REF!,44,FALSE)</f>
        <v>#REF!</v>
      </c>
      <c r="AS46" s="133" t="e">
        <f>VLOOKUP(A46,#REF!,24,FALSE)</f>
        <v>#REF!</v>
      </c>
      <c r="AT46" s="129"/>
      <c r="AU46" s="134" t="e">
        <f t="shared" si="0"/>
        <v>#REF!</v>
      </c>
      <c r="AV46" s="139"/>
      <c r="AW46" s="133" t="e">
        <f>VLOOKUP(A46,#REF!,25,FALSE)</f>
        <v>#REF!</v>
      </c>
      <c r="AX46" s="133" t="e">
        <f>VLOOKUP(A46,'Lowe''s final SKU list'!$C$2:$Q$99,2,FALSE)</f>
        <v>#N/A</v>
      </c>
      <c r="AY46" s="135">
        <f>VLOOKUP(A46,'Main Data File'!$C$4:$U$146,16,FALSE)</f>
        <v>0</v>
      </c>
      <c r="AZ46" s="135">
        <f>VLOOKUP(A46,'Main Data File'!$C$4:$U$146,13,FALSE)</f>
        <v>0</v>
      </c>
      <c r="BA46" s="135">
        <f>VLOOKUP(A46,'Main Data File'!$C$4:$U$146,14,FALSE)</f>
        <v>0</v>
      </c>
      <c r="BB46" s="135">
        <f>VLOOKUP(A46,'Main Data File'!$C$4:$U$146,15,FALSE)</f>
        <v>0</v>
      </c>
    </row>
    <row r="47" spans="1:54" ht="54" customHeight="1">
      <c r="A47" s="16" t="s">
        <v>123</v>
      </c>
      <c r="B47" s="16" t="str">
        <f>VLOOKUP(A47,'Main Data File'!$C$4:$U$146,19,FALSE)</f>
        <v>Andy</v>
      </c>
      <c r="C47" s="16"/>
      <c r="D47" s="16"/>
      <c r="E47" s="129"/>
      <c r="F47" s="129" t="e">
        <v>#N/A</v>
      </c>
      <c r="G47" s="130">
        <f>VLOOKUP(A47,'Main Data File'!$C$4:$U$146,17,FALSE)</f>
        <v>2104</v>
      </c>
      <c r="H47" s="129"/>
      <c r="I47" s="12" t="str">
        <f>VLOOKUP(A47,'Main Data File'!$C$4:$U$146,2,FALSE)</f>
        <v>4-1/2"" Flat Sink/Shower Strainer</v>
      </c>
      <c r="J47" s="12" t="str">
        <f>VLOOKUP(A47,'Main Data File'!$C$4:$U$146,18,FALSE)</f>
        <v>Write from scratch</v>
      </c>
      <c r="K47" s="129" t="s">
        <v>71</v>
      </c>
      <c r="L47" s="129"/>
      <c r="M47" s="129"/>
      <c r="N47" s="129"/>
      <c r="O47" s="129">
        <f>VLOOKUP(A47,'Main Data File'!$C$4:$U$146,3,FALSE)</f>
        <v>7.87</v>
      </c>
      <c r="P47" s="129">
        <f>VLOOKUP(A47,'Main Data File'!$C$4:$U$146,5,FALSE)</f>
        <v>4.5</v>
      </c>
      <c r="Q47" s="129">
        <f>VLOOKUP(A47,'Main Data File'!$C$4:$U$146,4,FALSE)</f>
        <v>5</v>
      </c>
      <c r="R47" s="129">
        <f>VLOOKUP(A47,'Main Data File'!$C$4:$U$146,6,FALSE)</f>
        <v>0.6</v>
      </c>
      <c r="S47" s="131">
        <f>VLOOKUP(A47,'Main Data File'!$C$4:$U$146,7,FALSE)</f>
        <v>0.10247395833333334</v>
      </c>
      <c r="T47" s="129" t="str">
        <f>VLOOKUP(A47,'Main Data File'!$C$4:$U$146,8,FALSE)</f>
        <v>Heat Formed Plastic</v>
      </c>
      <c r="U47" s="129"/>
      <c r="V47" s="129"/>
      <c r="W47" s="129"/>
      <c r="X47" s="129"/>
      <c r="Y47" s="129"/>
      <c r="Z47" s="129"/>
      <c r="AA47" s="129"/>
      <c r="AB47" s="129"/>
      <c r="AC47" s="129"/>
      <c r="AD47" s="129"/>
      <c r="AE47" s="129"/>
      <c r="AF47" s="129"/>
      <c r="AG47" s="129"/>
      <c r="AH47" s="129"/>
      <c r="AI47" s="129"/>
      <c r="AJ47" s="129"/>
      <c r="AK47" s="129"/>
      <c r="AL47" s="129"/>
      <c r="AM47" s="129"/>
      <c r="AN47" s="129"/>
      <c r="AO47" s="129"/>
      <c r="AP47" s="10"/>
      <c r="AQ47" s="132">
        <f>VLOOKUP(A47,'Main Data File'!$C$4:$U$146,10,FALSE)</f>
        <v>340.00000000000006</v>
      </c>
      <c r="AR47" s="133" t="e">
        <f>VLOOKUP(A47,#REF!,44,FALSE)</f>
        <v>#REF!</v>
      </c>
      <c r="AS47" s="133" t="e">
        <f>VLOOKUP(A47,#REF!,24,FALSE)</f>
        <v>#REF!</v>
      </c>
      <c r="AT47" s="129"/>
      <c r="AU47" s="134" t="e">
        <f t="shared" si="0"/>
        <v>#REF!</v>
      </c>
      <c r="AV47" s="139"/>
      <c r="AW47" s="133" t="e">
        <f>VLOOKUP(A47,#REF!,25,FALSE)</f>
        <v>#REF!</v>
      </c>
      <c r="AX47" s="133" t="str">
        <f>VLOOKUP(A47,'Lowe''s final SKU list'!$C$2:$Q$99,2,FALSE)</f>
        <v>YES</v>
      </c>
      <c r="AY47" s="135" t="str">
        <f>VLOOKUP(A47,'Main Data File'!$C$4:$U$146,16,FALSE)</f>
        <v>x</v>
      </c>
      <c r="AZ47" s="135">
        <f>VLOOKUP(A47,'Main Data File'!$C$4:$U$146,13,FALSE)</f>
        <v>0</v>
      </c>
      <c r="BA47" s="135">
        <f>VLOOKUP(A47,'Main Data File'!$C$4:$U$146,14,FALSE)</f>
        <v>0</v>
      </c>
      <c r="BB47" s="135">
        <f>VLOOKUP(A47,'Main Data File'!$C$4:$U$146,15,FALSE)</f>
        <v>0</v>
      </c>
    </row>
    <row r="48" spans="1:54" ht="54" hidden="1" customHeight="1">
      <c r="A48" s="16" t="s">
        <v>316</v>
      </c>
      <c r="B48" s="16" t="str">
        <f>VLOOKUP(A48,'Main Data File'!$C$4:$U$146,19,FALSE)</f>
        <v>Andy</v>
      </c>
      <c r="C48" s="16"/>
      <c r="D48" s="16"/>
      <c r="E48" s="129"/>
      <c r="F48" s="129" t="s">
        <v>1453</v>
      </c>
      <c r="G48" s="130" t="str">
        <f>VLOOKUP(A48,'Main Data File'!$C$4:$U$146,17,FALSE)</f>
        <v>C5677</v>
      </c>
      <c r="H48" s="129"/>
      <c r="I48" s="12" t="str">
        <f>VLOOKUP(A48,'Main Data File'!$C$4:$U$146,2,FALSE)</f>
        <v>Integral Fill Valve Toilet Repair Kit With Flapper</v>
      </c>
      <c r="J48" s="12" t="str">
        <f>VLOOKUP(A48,'Main Data File'!$C$4:$U$146,18,FALSE)</f>
        <v>Use back of World and Main card</v>
      </c>
      <c r="K48" s="129" t="s">
        <v>71</v>
      </c>
      <c r="L48" s="129"/>
      <c r="M48" s="129"/>
      <c r="N48" s="129"/>
      <c r="O48" s="129">
        <f>VLOOKUP(A48,'Main Data File'!$C$4:$U$146,3,FALSE)</f>
        <v>13.4</v>
      </c>
      <c r="P48" s="129">
        <f>VLOOKUP(A48,'Main Data File'!$C$4:$U$146,5,FALSE)</f>
        <v>3</v>
      </c>
      <c r="Q48" s="129">
        <f>VLOOKUP(A48,'Main Data File'!$C$4:$U$146,4,FALSE)</f>
        <v>6.4</v>
      </c>
      <c r="R48" s="129">
        <f>VLOOKUP(A48,'Main Data File'!$C$4:$U$146,6,FALSE)</f>
        <v>0.8</v>
      </c>
      <c r="S48" s="131">
        <f>VLOOKUP(A48,'Main Data File'!$C$4:$U$146,7,FALSE)</f>
        <v>0.1488888888888889</v>
      </c>
      <c r="T48" s="129" t="str">
        <f>VLOOKUP(A48,'Main Data File'!$C$4:$U$146,8,FALSE)</f>
        <v>Heat Formed Plastic</v>
      </c>
      <c r="U48" s="129"/>
      <c r="V48" s="129"/>
      <c r="W48" s="129"/>
      <c r="X48" s="129"/>
      <c r="Y48" s="129"/>
      <c r="Z48" s="129"/>
      <c r="AA48" s="129"/>
      <c r="AB48" s="129"/>
      <c r="AC48" s="129"/>
      <c r="AD48" s="129"/>
      <c r="AE48" s="129"/>
      <c r="AF48" s="129"/>
      <c r="AG48" s="129"/>
      <c r="AH48" s="129"/>
      <c r="AI48" s="129"/>
      <c r="AJ48" s="129"/>
      <c r="AK48" s="129"/>
      <c r="AL48" s="129"/>
      <c r="AM48" s="129"/>
      <c r="AN48" s="129"/>
      <c r="AO48" s="129"/>
      <c r="AP48" s="10"/>
      <c r="AQ48" s="132">
        <f>VLOOKUP(A48,'Main Data File'!$C$4:$U$146,10,FALSE)</f>
        <v>680.00000000000011</v>
      </c>
      <c r="AR48" s="133" t="e">
        <f>VLOOKUP(A48,#REF!,44,FALSE)</f>
        <v>#REF!</v>
      </c>
      <c r="AS48" s="133" t="e">
        <f>VLOOKUP(A48,#REF!,24,FALSE)</f>
        <v>#REF!</v>
      </c>
      <c r="AT48" s="129"/>
      <c r="AU48" s="134" t="e">
        <f t="shared" si="0"/>
        <v>#REF!</v>
      </c>
      <c r="AV48" s="139"/>
      <c r="AW48" s="133" t="e">
        <f>VLOOKUP(A48,#REF!,25,FALSE)</f>
        <v>#REF!</v>
      </c>
      <c r="AX48" s="133" t="e">
        <f>VLOOKUP(A48,'Lowe''s final SKU list'!$C$2:$Q$99,2,FALSE)</f>
        <v>#N/A</v>
      </c>
      <c r="AY48" s="135" t="str">
        <f>VLOOKUP(A48,'Main Data File'!$C$4:$U$146,16,FALSE)</f>
        <v>x</v>
      </c>
      <c r="AZ48" s="135">
        <f>VLOOKUP(A48,'Main Data File'!$C$4:$U$146,13,FALSE)</f>
        <v>0</v>
      </c>
      <c r="BA48" s="135">
        <f>VLOOKUP(A48,'Main Data File'!$C$4:$U$146,14,FALSE)</f>
        <v>0</v>
      </c>
      <c r="BB48" s="135">
        <f>VLOOKUP(A48,'Main Data File'!$C$4:$U$146,15,FALSE)</f>
        <v>0</v>
      </c>
    </row>
    <row r="49" spans="1:54" ht="54" hidden="1" customHeight="1">
      <c r="A49" s="16" t="s">
        <v>319</v>
      </c>
      <c r="B49" s="16" t="str">
        <f>VLOOKUP(A49,'Main Data File'!$C$4:$U$146,19,FALSE)</f>
        <v>Andy</v>
      </c>
      <c r="C49" s="16"/>
      <c r="D49" s="16"/>
      <c r="E49" s="129"/>
      <c r="F49" s="129" t="s">
        <v>763</v>
      </c>
      <c r="G49" s="130" t="str">
        <f>VLOOKUP(A49,'Main Data File'!$C$4:$U$146,17,FALSE)</f>
        <v>P-332C</v>
      </c>
      <c r="H49" s="129"/>
      <c r="I49" s="12" t="str">
        <f>VLOOKUP(A49,'Main Data File'!$C$4:$U$146,2,FALSE)</f>
        <v>Toilet Trip Lever Plastic CP</v>
      </c>
      <c r="J49" s="12" t="str">
        <f>VLOOKUP(A49,'Main Data File'!$C$4:$U$146,18,FALSE)</f>
        <v>Modify USH instructions</v>
      </c>
      <c r="K49" s="129" t="s">
        <v>71</v>
      </c>
      <c r="L49" s="129"/>
      <c r="M49" s="129"/>
      <c r="N49" s="129"/>
      <c r="O49" s="129">
        <f>VLOOKUP(A49,'Main Data File'!$C$4:$U$146,3,FALSE)</f>
        <v>13.75</v>
      </c>
      <c r="P49" s="129">
        <f>VLOOKUP(A49,'Main Data File'!$C$4:$U$146,5,FALSE)</f>
        <v>1.25</v>
      </c>
      <c r="Q49" s="129">
        <f>VLOOKUP(A49,'Main Data File'!$C$4:$U$146,4,FALSE)</f>
        <v>3.625</v>
      </c>
      <c r="R49" s="129">
        <f>VLOOKUP(A49,'Main Data File'!$C$4:$U$146,6,FALSE)</f>
        <v>0.1</v>
      </c>
      <c r="S49" s="131">
        <f>VLOOKUP(A49,'Main Data File'!$C$4:$U$146,7,FALSE)</f>
        <v>3.6055953414351853E-2</v>
      </c>
      <c r="T49" s="129" t="str">
        <f>VLOOKUP(A49,'Main Data File'!$C$4:$U$146,8,FALSE)</f>
        <v>Heat Formed Plastic</v>
      </c>
      <c r="U49" s="129"/>
      <c r="V49" s="129"/>
      <c r="W49" s="129"/>
      <c r="X49" s="129"/>
      <c r="Y49" s="129"/>
      <c r="Z49" s="129"/>
      <c r="AA49" s="129"/>
      <c r="AB49" s="129"/>
      <c r="AC49" s="129"/>
      <c r="AD49" s="129"/>
      <c r="AE49" s="129"/>
      <c r="AF49" s="129"/>
      <c r="AG49" s="129"/>
      <c r="AH49" s="129"/>
      <c r="AI49" s="129"/>
      <c r="AJ49" s="129"/>
      <c r="AK49" s="129"/>
      <c r="AL49" s="129"/>
      <c r="AM49" s="129"/>
      <c r="AN49" s="129"/>
      <c r="AO49" s="129"/>
      <c r="AP49" s="10"/>
      <c r="AQ49" s="132">
        <f>VLOOKUP(A49,'Main Data File'!$C$4:$U$146,10,FALSE)</f>
        <v>2800</v>
      </c>
      <c r="AR49" s="133" t="e">
        <f>VLOOKUP(A49,#REF!,44,FALSE)</f>
        <v>#REF!</v>
      </c>
      <c r="AS49" s="133" t="e">
        <f>VLOOKUP(A49,#REF!,24,FALSE)</f>
        <v>#REF!</v>
      </c>
      <c r="AT49" s="129"/>
      <c r="AU49" s="134" t="e">
        <f t="shared" si="0"/>
        <v>#REF!</v>
      </c>
      <c r="AV49" s="139"/>
      <c r="AW49" s="133" t="e">
        <f>VLOOKUP(A49,#REF!,25,FALSE)</f>
        <v>#REF!</v>
      </c>
      <c r="AX49" s="133" t="e">
        <f>VLOOKUP(A49,'Lowe''s final SKU list'!$C$2:$Q$99,2,FALSE)</f>
        <v>#N/A</v>
      </c>
      <c r="AY49" s="135" t="str">
        <f>VLOOKUP(A49,'Main Data File'!$C$4:$U$146,16,FALSE)</f>
        <v>x</v>
      </c>
      <c r="AZ49" s="135">
        <f>VLOOKUP(A49,'Main Data File'!$C$4:$U$146,13,FALSE)</f>
        <v>0</v>
      </c>
      <c r="BA49" s="135" t="str">
        <f>VLOOKUP(A49,'Main Data File'!$C$4:$U$146,14,FALSE)</f>
        <v>x</v>
      </c>
      <c r="BB49" s="135" t="str">
        <f>VLOOKUP(A49,'Main Data File'!$C$4:$U$146,15,FALSE)</f>
        <v>x</v>
      </c>
    </row>
    <row r="50" spans="1:54" ht="54" customHeight="1">
      <c r="A50" s="16" t="s">
        <v>124</v>
      </c>
      <c r="B50" s="16" t="str">
        <f>VLOOKUP(A50,'Main Data File'!$C$4:$U$146,19,FALSE)</f>
        <v>Andy</v>
      </c>
      <c r="C50" s="16"/>
      <c r="D50" s="16"/>
      <c r="E50" s="129"/>
      <c r="F50" s="129" t="s">
        <v>764</v>
      </c>
      <c r="G50" s="130" t="str">
        <f>VLOOKUP(A50,'Main Data File'!$C$4:$U$146,17,FALSE)</f>
        <v>P-139C</v>
      </c>
      <c r="H50" s="129"/>
      <c r="I50" s="12" t="str">
        <f>VLOOKUP(A50,'Main Data File'!$C$4:$U$146,2,FALSE)</f>
        <v>Pop-Up With Linkage Less Overflow</v>
      </c>
      <c r="J50" s="12" t="str">
        <f>VLOOKUP(A50,'Main Data File'!$C$4:$U$146,18,FALSE)</f>
        <v>Write from scratch</v>
      </c>
      <c r="K50" s="129" t="s">
        <v>71</v>
      </c>
      <c r="L50" s="129"/>
      <c r="M50" s="129"/>
      <c r="N50" s="129"/>
      <c r="O50" s="129">
        <f>VLOOKUP(A50,'Main Data File'!$C$4:$U$146,3,FALSE)</f>
        <v>13.75</v>
      </c>
      <c r="P50" s="129">
        <f>VLOOKUP(A50,'Main Data File'!$C$4:$U$146,5,FALSE)</f>
        <v>2.5</v>
      </c>
      <c r="Q50" s="129">
        <f>VLOOKUP(A50,'Main Data File'!$C$4:$U$146,4,FALSE)</f>
        <v>3.625</v>
      </c>
      <c r="R50" s="129">
        <f>VLOOKUP(A50,'Main Data File'!$C$4:$U$146,6,FALSE)</f>
        <v>0.5</v>
      </c>
      <c r="S50" s="131">
        <f>VLOOKUP(A50,'Main Data File'!$C$4:$U$146,7,FALSE)</f>
        <v>7.2111906828703706E-2</v>
      </c>
      <c r="T50" s="129" t="str">
        <f>VLOOKUP(A50,'Main Data File'!$C$4:$U$146,8,FALSE)</f>
        <v>Heat Formed Plastic</v>
      </c>
      <c r="U50" s="129"/>
      <c r="V50" s="129"/>
      <c r="W50" s="129"/>
      <c r="X50" s="129"/>
      <c r="Y50" s="129"/>
      <c r="Z50" s="129"/>
      <c r="AA50" s="129"/>
      <c r="AB50" s="129"/>
      <c r="AC50" s="129"/>
      <c r="AD50" s="129"/>
      <c r="AE50" s="129"/>
      <c r="AF50" s="129"/>
      <c r="AG50" s="129"/>
      <c r="AH50" s="129"/>
      <c r="AI50" s="129"/>
      <c r="AJ50" s="129"/>
      <c r="AK50" s="129"/>
      <c r="AL50" s="129"/>
      <c r="AM50" s="129"/>
      <c r="AN50" s="129"/>
      <c r="AO50" s="129"/>
      <c r="AP50" s="10"/>
      <c r="AQ50" s="132">
        <f>VLOOKUP(A50,'Main Data File'!$C$4:$U$146,10,FALSE)</f>
        <v>17150</v>
      </c>
      <c r="AR50" s="133" t="e">
        <f>VLOOKUP(A50,#REF!,44,FALSE)</f>
        <v>#REF!</v>
      </c>
      <c r="AS50" s="133" t="e">
        <f>VLOOKUP(A50,#REF!,24,FALSE)</f>
        <v>#REF!</v>
      </c>
      <c r="AT50" s="129"/>
      <c r="AU50" s="134" t="e">
        <f t="shared" si="0"/>
        <v>#REF!</v>
      </c>
      <c r="AV50" s="139"/>
      <c r="AW50" s="133" t="e">
        <f>VLOOKUP(A50,#REF!,25,FALSE)</f>
        <v>#REF!</v>
      </c>
      <c r="AX50" s="133" t="str">
        <f>VLOOKUP(A50,'Lowe''s final SKU list'!$C$2:$Q$99,2,FALSE)</f>
        <v>YES</v>
      </c>
      <c r="AY50" s="135" t="str">
        <f>VLOOKUP(A50,'Main Data File'!$C$4:$U$146,16,FALSE)</f>
        <v>x</v>
      </c>
      <c r="AZ50" s="135" t="str">
        <f>VLOOKUP(A50,'Main Data File'!$C$4:$U$146,13,FALSE)</f>
        <v>x</v>
      </c>
      <c r="BA50" s="135" t="str">
        <f>VLOOKUP(A50,'Main Data File'!$C$4:$U$146,14,FALSE)</f>
        <v>x</v>
      </c>
      <c r="BB50" s="135" t="str">
        <f>VLOOKUP(A50,'Main Data File'!$C$4:$U$146,15,FALSE)</f>
        <v>x</v>
      </c>
    </row>
    <row r="51" spans="1:54" ht="54" customHeight="1">
      <c r="A51" s="16" t="s">
        <v>125</v>
      </c>
      <c r="B51" s="16" t="str">
        <f>VLOOKUP(A51,'Main Data File'!$C$4:$U$146,19,FALSE)</f>
        <v>Andy</v>
      </c>
      <c r="C51" s="16"/>
      <c r="D51" s="16"/>
      <c r="E51" s="129"/>
      <c r="F51" s="129" t="s">
        <v>765</v>
      </c>
      <c r="G51" s="130" t="str">
        <f>VLOOKUP(A51,'Main Data File'!$C$4:$U$146,17,FALSE)</f>
        <v>RV-013B</v>
      </c>
      <c r="H51" s="129"/>
      <c r="I51" s="12" t="str">
        <f>VLOOKUP(A51,'Main Data File'!$C$4:$U$146,2,FALSE)</f>
        <v>Concealed Shower Valve</v>
      </c>
      <c r="J51" s="12" t="str">
        <f>VLOOKUP(A51,'Main Data File'!$C$4:$U$146,18,FALSE)</f>
        <v>Write from scratch</v>
      </c>
      <c r="K51" s="129" t="s">
        <v>71</v>
      </c>
      <c r="L51" s="129"/>
      <c r="M51" s="129"/>
      <c r="N51" s="129"/>
      <c r="O51" s="129">
        <f>VLOOKUP(A51,'Main Data File'!$C$4:$U$146,3,FALSE)</f>
        <v>6.5</v>
      </c>
      <c r="P51" s="129">
        <f>VLOOKUP(A51,'Main Data File'!$C$4:$U$146,5,FALSE)</f>
        <v>4.5</v>
      </c>
      <c r="Q51" s="129">
        <f>VLOOKUP(A51,'Main Data File'!$C$4:$U$146,4,FALSE)</f>
        <v>6.25</v>
      </c>
      <c r="R51" s="129">
        <f>VLOOKUP(A51,'Main Data File'!$C$4:$U$146,6,FALSE)</f>
        <v>1</v>
      </c>
      <c r="S51" s="131">
        <f>VLOOKUP(A51,'Main Data File'!$C$4:$U$146,7,FALSE)</f>
        <v>0.10579427083333333</v>
      </c>
      <c r="T51" s="129" t="str">
        <f>VLOOKUP(A51,'Main Data File'!$C$4:$U$146,8,FALSE)</f>
        <v>Bagged</v>
      </c>
      <c r="U51" s="129"/>
      <c r="V51" s="129"/>
      <c r="W51" s="129"/>
      <c r="X51" s="129"/>
      <c r="Y51" s="129"/>
      <c r="Z51" s="129"/>
      <c r="AA51" s="129"/>
      <c r="AB51" s="129"/>
      <c r="AC51" s="129"/>
      <c r="AD51" s="129"/>
      <c r="AE51" s="129"/>
      <c r="AF51" s="129"/>
      <c r="AG51" s="129"/>
      <c r="AH51" s="129"/>
      <c r="AI51" s="129"/>
      <c r="AJ51" s="129"/>
      <c r="AK51" s="129"/>
      <c r="AL51" s="129"/>
      <c r="AM51" s="129"/>
      <c r="AN51" s="129"/>
      <c r="AO51" s="129"/>
      <c r="AP51" s="10"/>
      <c r="AQ51" s="132">
        <f>VLOOKUP(A51,'Main Data File'!$C$4:$U$146,10,FALSE)</f>
        <v>7515</v>
      </c>
      <c r="AR51" s="133" t="e">
        <f>VLOOKUP(A51,#REF!,44,FALSE)</f>
        <v>#REF!</v>
      </c>
      <c r="AS51" s="133" t="e">
        <f>VLOOKUP(A51,#REF!,24,FALSE)</f>
        <v>#REF!</v>
      </c>
      <c r="AT51" s="129"/>
      <c r="AU51" s="134" t="e">
        <f t="shared" si="0"/>
        <v>#REF!</v>
      </c>
      <c r="AV51" s="139"/>
      <c r="AW51" s="133" t="e">
        <f>VLOOKUP(A51,#REF!,25,FALSE)</f>
        <v>#REF!</v>
      </c>
      <c r="AX51" s="133" t="str">
        <f>VLOOKUP(A51,'Lowe''s final SKU list'!$C$2:$Q$99,2,FALSE)</f>
        <v>YES</v>
      </c>
      <c r="AY51" s="135" t="str">
        <f>VLOOKUP(A51,'Main Data File'!$C$4:$U$146,16,FALSE)</f>
        <v>x</v>
      </c>
      <c r="AZ51" s="135" t="str">
        <f>VLOOKUP(A51,'Main Data File'!$C$4:$U$146,13,FALSE)</f>
        <v>x</v>
      </c>
      <c r="BA51" s="135">
        <f>VLOOKUP(A51,'Main Data File'!$C$4:$U$146,14,FALSE)</f>
        <v>0</v>
      </c>
      <c r="BB51" s="135">
        <f>VLOOKUP(A51,'Main Data File'!$C$4:$U$146,15,FALSE)</f>
        <v>0</v>
      </c>
    </row>
    <row r="52" spans="1:54" ht="54" customHeight="1">
      <c r="A52" s="16" t="s">
        <v>126</v>
      </c>
      <c r="B52" s="16" t="str">
        <f>VLOOKUP(A52,'Main Data File'!$C$4:$U$146,19,FALSE)</f>
        <v>Andy</v>
      </c>
      <c r="C52" s="16"/>
      <c r="D52" s="16"/>
      <c r="E52" s="129"/>
      <c r="F52" s="129" t="s">
        <v>766</v>
      </c>
      <c r="G52" s="130" t="str">
        <f>VLOOKUP(A52,'Main Data File'!$C$4:$U$146,17,FALSE)</f>
        <v>RV-012B</v>
      </c>
      <c r="H52" s="129"/>
      <c r="I52" s="12" t="str">
        <f>VLOOKUP(A52,'Main Data File'!$C$4:$U$146,2,FALSE)</f>
        <v>4" Shower Valve</v>
      </c>
      <c r="J52" s="12" t="str">
        <f>VLOOKUP(A52,'Main Data File'!$C$4:$U$146,18,FALSE)</f>
        <v>Write from scratch</v>
      </c>
      <c r="K52" s="129" t="s">
        <v>71</v>
      </c>
      <c r="L52" s="129"/>
      <c r="M52" s="129"/>
      <c r="N52" s="129"/>
      <c r="O52" s="129">
        <f>VLOOKUP(A52,'Main Data File'!$C$4:$U$146,3,FALSE)</f>
        <v>6.5</v>
      </c>
      <c r="P52" s="129">
        <f>VLOOKUP(A52,'Main Data File'!$C$4:$U$146,5,FALSE)</f>
        <v>4.5</v>
      </c>
      <c r="Q52" s="129">
        <f>VLOOKUP(A52,'Main Data File'!$C$4:$U$146,4,FALSE)</f>
        <v>6.25</v>
      </c>
      <c r="R52" s="129">
        <f>VLOOKUP(A52,'Main Data File'!$C$4:$U$146,6,FALSE)</f>
        <v>1</v>
      </c>
      <c r="S52" s="131">
        <f>VLOOKUP(A52,'Main Data File'!$C$4:$U$146,7,FALSE)</f>
        <v>0.10579427083333333</v>
      </c>
      <c r="T52" s="129" t="str">
        <f>VLOOKUP(A52,'Main Data File'!$C$4:$U$146,8,FALSE)</f>
        <v>Bagged</v>
      </c>
      <c r="U52" s="129"/>
      <c r="V52" s="129"/>
      <c r="W52" s="129"/>
      <c r="X52" s="129"/>
      <c r="Y52" s="129"/>
      <c r="Z52" s="129"/>
      <c r="AA52" s="129"/>
      <c r="AB52" s="129"/>
      <c r="AC52" s="129"/>
      <c r="AD52" s="129"/>
      <c r="AE52" s="129"/>
      <c r="AF52" s="129"/>
      <c r="AG52" s="129"/>
      <c r="AH52" s="129"/>
      <c r="AI52" s="129"/>
      <c r="AJ52" s="129"/>
      <c r="AK52" s="129"/>
      <c r="AL52" s="129"/>
      <c r="AM52" s="129"/>
      <c r="AN52" s="129"/>
      <c r="AO52" s="129"/>
      <c r="AP52" s="10"/>
      <c r="AQ52" s="132">
        <f>VLOOKUP(A52,'Main Data File'!$C$4:$U$146,10,FALSE)</f>
        <v>544</v>
      </c>
      <c r="AR52" s="133" t="e">
        <f>VLOOKUP(A52,#REF!,44,FALSE)</f>
        <v>#REF!</v>
      </c>
      <c r="AS52" s="133" t="e">
        <f>VLOOKUP(A52,#REF!,24,FALSE)</f>
        <v>#REF!</v>
      </c>
      <c r="AT52" s="129"/>
      <c r="AU52" s="134" t="e">
        <f t="shared" si="0"/>
        <v>#REF!</v>
      </c>
      <c r="AV52" s="139"/>
      <c r="AW52" s="133" t="e">
        <f>VLOOKUP(A52,#REF!,25,FALSE)</f>
        <v>#REF!</v>
      </c>
      <c r="AX52" s="133" t="str">
        <f>VLOOKUP(A52,'Lowe''s final SKU list'!$C$2:$Q$99,2,FALSE)</f>
        <v>YES</v>
      </c>
      <c r="AY52" s="135" t="str">
        <f>VLOOKUP(A52,'Main Data File'!$C$4:$U$146,16,FALSE)</f>
        <v>x</v>
      </c>
      <c r="AZ52" s="135">
        <f>VLOOKUP(A52,'Main Data File'!$C$4:$U$146,13,FALSE)</f>
        <v>0</v>
      </c>
      <c r="BA52" s="135">
        <f>VLOOKUP(A52,'Main Data File'!$C$4:$U$146,14,FALSE)</f>
        <v>0</v>
      </c>
      <c r="BB52" s="135">
        <f>VLOOKUP(A52,'Main Data File'!$C$4:$U$146,15,FALSE)</f>
        <v>0</v>
      </c>
    </row>
    <row r="53" spans="1:54" ht="54" hidden="1" customHeight="1">
      <c r="A53" s="16" t="s">
        <v>329</v>
      </c>
      <c r="B53" s="16" t="str">
        <f>VLOOKUP(A53,'Main Data File'!$C$4:$U$146,19,FALSE)</f>
        <v>Andy</v>
      </c>
      <c r="C53" s="16"/>
      <c r="D53" s="16"/>
      <c r="E53" s="129"/>
      <c r="F53" s="129" t="s">
        <v>767</v>
      </c>
      <c r="G53" s="130" t="str">
        <f>VLOOKUP(A53,'Main Data File'!$C$4:$U$146,17,FALSE)</f>
        <v>RV-035B</v>
      </c>
      <c r="H53" s="129"/>
      <c r="I53" s="12" t="str">
        <f>VLOOKUP(A53,'Main Data File'!$C$4:$U$146,2,FALSE)</f>
        <v>4" Deck Faucet Swivel Spout</v>
      </c>
      <c r="J53" s="12" t="str">
        <f>VLOOKUP(A53,'Main Data File'!$C$4:$U$146,18,FALSE)</f>
        <v>Write from scratch</v>
      </c>
      <c r="K53" s="129" t="s">
        <v>71</v>
      </c>
      <c r="L53" s="129"/>
      <c r="M53" s="129"/>
      <c r="N53" s="129"/>
      <c r="O53" s="129">
        <f>VLOOKUP(A53,'Main Data File'!$C$4:$U$146,3,FALSE)</f>
        <v>6.5</v>
      </c>
      <c r="P53" s="129">
        <f>VLOOKUP(A53,'Main Data File'!$C$4:$U$146,5,FALSE)</f>
        <v>4.5</v>
      </c>
      <c r="Q53" s="129">
        <f>VLOOKUP(A53,'Main Data File'!$C$4:$U$146,4,FALSE)</f>
        <v>6.25</v>
      </c>
      <c r="R53" s="129">
        <f>VLOOKUP(A53,'Main Data File'!$C$4:$U$146,6,FALSE)</f>
        <v>1.5</v>
      </c>
      <c r="S53" s="131">
        <f>VLOOKUP(A53,'Main Data File'!$C$4:$U$146,7,FALSE)</f>
        <v>0.10579427083333333</v>
      </c>
      <c r="T53" s="129" t="str">
        <f>VLOOKUP(A53,'Main Data File'!$C$4:$U$146,8,FALSE)</f>
        <v>Bagged</v>
      </c>
      <c r="U53" s="129"/>
      <c r="V53" s="129"/>
      <c r="W53" s="129"/>
      <c r="X53" s="129"/>
      <c r="Y53" s="129"/>
      <c r="Z53" s="129"/>
      <c r="AA53" s="129"/>
      <c r="AB53" s="129"/>
      <c r="AC53" s="129"/>
      <c r="AD53" s="129"/>
      <c r="AE53" s="129"/>
      <c r="AF53" s="129"/>
      <c r="AG53" s="129"/>
      <c r="AH53" s="129"/>
      <c r="AI53" s="129"/>
      <c r="AJ53" s="129"/>
      <c r="AK53" s="129"/>
      <c r="AL53" s="129"/>
      <c r="AM53" s="129"/>
      <c r="AN53" s="129"/>
      <c r="AO53" s="129"/>
      <c r="AP53" s="10"/>
      <c r="AQ53" s="132">
        <f>VLOOKUP(A53,'Main Data File'!$C$4:$U$146,10,FALSE)</f>
        <v>408</v>
      </c>
      <c r="AR53" s="133" t="e">
        <f>VLOOKUP(A53,#REF!,44,FALSE)</f>
        <v>#REF!</v>
      </c>
      <c r="AS53" s="133" t="e">
        <f>VLOOKUP(A53,#REF!,24,FALSE)</f>
        <v>#REF!</v>
      </c>
      <c r="AT53" s="129"/>
      <c r="AU53" s="134" t="e">
        <f t="shared" si="0"/>
        <v>#REF!</v>
      </c>
      <c r="AV53" s="139"/>
      <c r="AW53" s="133" t="e">
        <f>VLOOKUP(A53,#REF!,25,FALSE)</f>
        <v>#REF!</v>
      </c>
      <c r="AX53" s="133" t="e">
        <f>VLOOKUP(A53,'Lowe''s final SKU list'!$C$2:$Q$99,2,FALSE)</f>
        <v>#N/A</v>
      </c>
      <c r="AY53" s="135" t="str">
        <f>VLOOKUP(A53,'Main Data File'!$C$4:$U$146,16,FALSE)</f>
        <v>x</v>
      </c>
      <c r="AZ53" s="135">
        <f>VLOOKUP(A53,'Main Data File'!$C$4:$U$146,13,FALSE)</f>
        <v>0</v>
      </c>
      <c r="BA53" s="135">
        <f>VLOOKUP(A53,'Main Data File'!$C$4:$U$146,14,FALSE)</f>
        <v>0</v>
      </c>
      <c r="BB53" s="135">
        <f>VLOOKUP(A53,'Main Data File'!$C$4:$U$146,15,FALSE)</f>
        <v>0</v>
      </c>
    </row>
    <row r="54" spans="1:54" ht="54" customHeight="1">
      <c r="A54" s="16" t="s">
        <v>127</v>
      </c>
      <c r="B54" s="16" t="str">
        <f>VLOOKUP(A54,'Main Data File'!$C$4:$U$146,19,FALSE)</f>
        <v>Andy</v>
      </c>
      <c r="C54" s="16"/>
      <c r="D54" s="16"/>
      <c r="E54" s="129"/>
      <c r="F54" s="129" t="s">
        <v>768</v>
      </c>
      <c r="G54" s="130" t="str">
        <f>VLOOKUP(A54,'Main Data File'!$C$4:$U$146,17,FALSE)</f>
        <v>P-008PN</v>
      </c>
      <c r="H54" s="129"/>
      <c r="I54" s="12" t="str">
        <f>VLOOKUP(A54,'Main Data File'!$C$4:$U$146,2,FALSE)</f>
        <v>8" Exposed Faucet With Shower Arm Flange &amp; Head</v>
      </c>
      <c r="J54" s="12" t="str">
        <f>VLOOKUP(A54,'Main Data File'!$C$4:$U$146,18,FALSE)</f>
        <v>Write from scratch</v>
      </c>
      <c r="K54" s="129" t="s">
        <v>71</v>
      </c>
      <c r="L54" s="129"/>
      <c r="M54" s="129"/>
      <c r="N54" s="129"/>
      <c r="O54" s="129">
        <f>VLOOKUP(A54,'Main Data File'!$C$4:$U$146,3,FALSE)</f>
        <v>10</v>
      </c>
      <c r="P54" s="129">
        <f>VLOOKUP(A54,'Main Data File'!$C$4:$U$146,5,FALSE)</f>
        <v>3.5</v>
      </c>
      <c r="Q54" s="129">
        <f>VLOOKUP(A54,'Main Data File'!$C$4:$U$146,4,FALSE)</f>
        <v>6</v>
      </c>
      <c r="R54" s="129">
        <f>VLOOKUP(A54,'Main Data File'!$C$4:$U$146,6,FALSE)</f>
        <v>2.5</v>
      </c>
      <c r="S54" s="131">
        <f>VLOOKUP(A54,'Main Data File'!$C$4:$U$146,7,FALSE)</f>
        <v>0.12152777777777778</v>
      </c>
      <c r="T54" s="129" t="str">
        <f>VLOOKUP(A54,'Main Data File'!$C$4:$U$146,8,FALSE)</f>
        <v>Heat Formed Plastic</v>
      </c>
      <c r="U54" s="129"/>
      <c r="V54" s="129"/>
      <c r="W54" s="129"/>
      <c r="X54" s="129"/>
      <c r="Y54" s="129"/>
      <c r="Z54" s="129"/>
      <c r="AA54" s="129"/>
      <c r="AB54" s="129"/>
      <c r="AC54" s="129"/>
      <c r="AD54" s="129"/>
      <c r="AE54" s="129"/>
      <c r="AF54" s="129"/>
      <c r="AG54" s="129"/>
      <c r="AH54" s="129"/>
      <c r="AI54" s="129"/>
      <c r="AJ54" s="129"/>
      <c r="AK54" s="129"/>
      <c r="AL54" s="129"/>
      <c r="AM54" s="129"/>
      <c r="AN54" s="129"/>
      <c r="AO54" s="129"/>
      <c r="AP54" s="10"/>
      <c r="AQ54" s="132">
        <f>VLOOKUP(A54,'Main Data File'!$C$4:$U$146,10,FALSE)</f>
        <v>2800</v>
      </c>
      <c r="AR54" s="133" t="e">
        <f>VLOOKUP(A54,#REF!,44,FALSE)</f>
        <v>#REF!</v>
      </c>
      <c r="AS54" s="133" t="e">
        <f>VLOOKUP(A54,#REF!,24,FALSE)</f>
        <v>#REF!</v>
      </c>
      <c r="AT54" s="129"/>
      <c r="AU54" s="134" t="e">
        <f t="shared" si="0"/>
        <v>#REF!</v>
      </c>
      <c r="AV54" s="139"/>
      <c r="AW54" s="133" t="e">
        <f>VLOOKUP(A54,#REF!,25,FALSE)</f>
        <v>#REF!</v>
      </c>
      <c r="AX54" s="133" t="str">
        <f>VLOOKUP(A54,'Lowe''s final SKU list'!$C$2:$Q$99,2,FALSE)</f>
        <v>YES</v>
      </c>
      <c r="AY54" s="135" t="str">
        <f>VLOOKUP(A54,'Main Data File'!$C$4:$U$146,16,FALSE)</f>
        <v>x</v>
      </c>
      <c r="AZ54" s="135">
        <f>VLOOKUP(A54,'Main Data File'!$C$4:$U$146,13,FALSE)</f>
        <v>0</v>
      </c>
      <c r="BA54" s="135" t="str">
        <f>VLOOKUP(A54,'Main Data File'!$C$4:$U$146,14,FALSE)</f>
        <v>x</v>
      </c>
      <c r="BB54" s="135" t="str">
        <f>VLOOKUP(A54,'Main Data File'!$C$4:$U$146,15,FALSE)</f>
        <v>x</v>
      </c>
    </row>
    <row r="55" spans="1:54" ht="54" hidden="1" customHeight="1">
      <c r="A55" s="16" t="s">
        <v>333</v>
      </c>
      <c r="B55" s="16" t="str">
        <f>VLOOKUP(A55,'Main Data File'!$C$4:$U$146,19,FALSE)</f>
        <v>Andy</v>
      </c>
      <c r="C55" s="16"/>
      <c r="D55" s="16"/>
      <c r="E55" s="129"/>
      <c r="F55" s="129" t="s">
        <v>769</v>
      </c>
      <c r="G55" s="130" t="str">
        <f>VLOOKUP(A55,'Main Data File'!$C$4:$U$146,17,FALSE)</f>
        <v>P-526C</v>
      </c>
      <c r="H55" s="129"/>
      <c r="I55" s="12" t="str">
        <f>VLOOKUP(A55,'Main Data File'!$C$4:$U$146,2,FALSE)</f>
        <v>CP Plastic Spout</v>
      </c>
      <c r="J55" s="12" t="str">
        <f>VLOOKUP(A55,'Main Data File'!$C$4:$U$146,18,FALSE)</f>
        <v>Modify USH instructions</v>
      </c>
      <c r="K55" s="129" t="s">
        <v>71</v>
      </c>
      <c r="L55" s="129"/>
      <c r="M55" s="129"/>
      <c r="N55" s="129"/>
      <c r="O55" s="129">
        <f>VLOOKUP(A55,'Main Data File'!$C$4:$U$146,3,FALSE)</f>
        <v>6.8</v>
      </c>
      <c r="P55" s="129">
        <f>VLOOKUP(A55,'Main Data File'!$C$4:$U$146,5,FALSE)</f>
        <v>3</v>
      </c>
      <c r="Q55" s="129">
        <f>VLOOKUP(A55,'Main Data File'!$C$4:$U$146,4,FALSE)</f>
        <v>5.125</v>
      </c>
      <c r="R55" s="129">
        <f>VLOOKUP(A55,'Main Data File'!$C$4:$U$146,6,FALSE)</f>
        <v>0.37</v>
      </c>
      <c r="S55" s="131">
        <f>VLOOKUP(A55,'Main Data File'!$C$4:$U$146,7,FALSE)</f>
        <v>6.0503472222222229E-2</v>
      </c>
      <c r="T55" s="129" t="str">
        <f>VLOOKUP(A55,'Main Data File'!$C$4:$U$146,8,FALSE)</f>
        <v>Heat Formed Plastic</v>
      </c>
      <c r="U55" s="129"/>
      <c r="V55" s="129"/>
      <c r="W55" s="129"/>
      <c r="X55" s="129"/>
      <c r="Y55" s="129"/>
      <c r="Z55" s="129"/>
      <c r="AA55" s="129"/>
      <c r="AB55" s="129"/>
      <c r="AC55" s="129"/>
      <c r="AD55" s="129"/>
      <c r="AE55" s="129"/>
      <c r="AF55" s="129"/>
      <c r="AG55" s="129"/>
      <c r="AH55" s="129"/>
      <c r="AI55" s="129"/>
      <c r="AJ55" s="129"/>
      <c r="AK55" s="129"/>
      <c r="AL55" s="129"/>
      <c r="AM55" s="129"/>
      <c r="AN55" s="129"/>
      <c r="AO55" s="129"/>
      <c r="AP55" s="10"/>
      <c r="AQ55" s="132">
        <f>VLOOKUP(A55,'Main Data File'!$C$4:$U$146,10,FALSE)</f>
        <v>340.00000000000006</v>
      </c>
      <c r="AR55" s="133" t="e">
        <f>VLOOKUP(A55,#REF!,44,FALSE)</f>
        <v>#REF!</v>
      </c>
      <c r="AS55" s="133" t="e">
        <f>VLOOKUP(A55,#REF!,24,FALSE)</f>
        <v>#REF!</v>
      </c>
      <c r="AT55" s="129"/>
      <c r="AU55" s="134" t="e">
        <f t="shared" si="0"/>
        <v>#REF!</v>
      </c>
      <c r="AV55" s="139"/>
      <c r="AW55" s="133" t="e">
        <f>VLOOKUP(A55,#REF!,25,FALSE)</f>
        <v>#REF!</v>
      </c>
      <c r="AX55" s="133" t="e">
        <f>VLOOKUP(A55,'Lowe''s final SKU list'!$C$2:$Q$99,2,FALSE)</f>
        <v>#N/A</v>
      </c>
      <c r="AY55" s="135">
        <f>VLOOKUP(A55,'Main Data File'!$C$4:$U$146,16,FALSE)</f>
        <v>0</v>
      </c>
      <c r="AZ55" s="135">
        <f>VLOOKUP(A55,'Main Data File'!$C$4:$U$146,13,FALSE)</f>
        <v>0</v>
      </c>
      <c r="BA55" s="135">
        <f>VLOOKUP(A55,'Main Data File'!$C$4:$U$146,14,FALSE)</f>
        <v>0</v>
      </c>
      <c r="BB55" s="135">
        <f>VLOOKUP(A55,'Main Data File'!$C$4:$U$146,15,FALSE)</f>
        <v>0</v>
      </c>
    </row>
    <row r="56" spans="1:54" ht="54" customHeight="1">
      <c r="A56" s="16" t="s">
        <v>128</v>
      </c>
      <c r="B56" s="16" t="str">
        <f>VLOOKUP(A56,'Main Data File'!$C$4:$U$146,19,FALSE)</f>
        <v>Andy</v>
      </c>
      <c r="C56" s="16"/>
      <c r="D56" s="16"/>
      <c r="E56" s="129"/>
      <c r="F56" s="129">
        <v>690501</v>
      </c>
      <c r="G56" s="130" t="str">
        <f>VLOOKUP(A56,'Main Data File'!$C$4:$U$146,17,FALSE)</f>
        <v>P-005PB</v>
      </c>
      <c r="H56" s="129"/>
      <c r="I56" s="12" t="str">
        <f>VLOOKUP(A56,'Main Data File'!$C$4:$U$146,2,FALSE)</f>
        <v>8" Two-Valve Tub Shower Faucet Straight Shanks</v>
      </c>
      <c r="J56" s="12" t="str">
        <f>VLOOKUP(A56,'Main Data File'!$C$4:$U$146,18,FALSE)</f>
        <v>Modify USH instructions</v>
      </c>
      <c r="K56" s="129" t="s">
        <v>71</v>
      </c>
      <c r="L56" s="129"/>
      <c r="M56" s="129"/>
      <c r="N56" s="129"/>
      <c r="O56" s="129">
        <f>VLOOKUP(A56,'Main Data File'!$C$4:$U$146,3,FALSE)</f>
        <v>12</v>
      </c>
      <c r="P56" s="129">
        <f>VLOOKUP(A56,'Main Data File'!$C$4:$U$146,5,FALSE)</f>
        <v>2.5</v>
      </c>
      <c r="Q56" s="129">
        <f>VLOOKUP(A56,'Main Data File'!$C$4:$U$146,4,FALSE)</f>
        <v>11.5</v>
      </c>
      <c r="R56" s="129">
        <f>VLOOKUP(A56,'Main Data File'!$C$4:$U$146,6,FALSE)</f>
        <v>1.76</v>
      </c>
      <c r="S56" s="131">
        <f>VLOOKUP(A56,'Main Data File'!$C$4:$U$146,7,FALSE)</f>
        <v>0.19965277777777779</v>
      </c>
      <c r="T56" s="129" t="str">
        <f>VLOOKUP(A56,'Main Data File'!$C$4:$U$146,8,FALSE)</f>
        <v>Heat Formed Plastic</v>
      </c>
      <c r="U56" s="129"/>
      <c r="V56" s="129"/>
      <c r="W56" s="129"/>
      <c r="X56" s="129"/>
      <c r="Y56" s="129"/>
      <c r="Z56" s="129"/>
      <c r="AA56" s="129"/>
      <c r="AB56" s="129"/>
      <c r="AC56" s="129"/>
      <c r="AD56" s="129"/>
      <c r="AE56" s="129"/>
      <c r="AF56" s="129"/>
      <c r="AG56" s="129"/>
      <c r="AH56" s="129"/>
      <c r="AI56" s="129"/>
      <c r="AJ56" s="129"/>
      <c r="AK56" s="129"/>
      <c r="AL56" s="129"/>
      <c r="AM56" s="129"/>
      <c r="AN56" s="129"/>
      <c r="AO56" s="129"/>
      <c r="AP56" s="10"/>
      <c r="AQ56" s="132">
        <f>VLOOKUP(A56,'Main Data File'!$C$4:$U$146,10,FALSE)</f>
        <v>44772</v>
      </c>
      <c r="AR56" s="133" t="e">
        <f>VLOOKUP(A56,#REF!,44,FALSE)</f>
        <v>#REF!</v>
      </c>
      <c r="AS56" s="133" t="e">
        <f>VLOOKUP(A56,#REF!,24,FALSE)</f>
        <v>#REF!</v>
      </c>
      <c r="AT56" s="129"/>
      <c r="AU56" s="134" t="e">
        <f t="shared" si="0"/>
        <v>#REF!</v>
      </c>
      <c r="AV56" s="139"/>
      <c r="AW56" s="133" t="e">
        <f>VLOOKUP(A56,#REF!,25,FALSE)</f>
        <v>#REF!</v>
      </c>
      <c r="AX56" s="133" t="str">
        <f>VLOOKUP(A56,'Lowe''s final SKU list'!$C$2:$Q$99,2,FALSE)</f>
        <v>YES</v>
      </c>
      <c r="AY56" s="135" t="str">
        <f>VLOOKUP(A56,'Main Data File'!$C$4:$U$146,16,FALSE)</f>
        <v>x</v>
      </c>
      <c r="AZ56" s="135" t="str">
        <f>VLOOKUP(A56,'Main Data File'!$C$4:$U$146,13,FALSE)</f>
        <v>x</v>
      </c>
      <c r="BA56" s="135">
        <f>VLOOKUP(A56,'Main Data File'!$C$4:$U$146,14,FALSE)</f>
        <v>0</v>
      </c>
      <c r="BB56" s="135" t="str">
        <f>VLOOKUP(A56,'Main Data File'!$C$4:$U$146,15,FALSE)</f>
        <v>x</v>
      </c>
    </row>
    <row r="57" spans="1:54" ht="54" customHeight="1">
      <c r="A57" s="16" t="s">
        <v>129</v>
      </c>
      <c r="B57" s="16" t="str">
        <f>VLOOKUP(A57,'Main Data File'!$C$4:$U$146,19,FALSE)</f>
        <v>Andy</v>
      </c>
      <c r="C57" s="16"/>
      <c r="D57" s="16"/>
      <c r="E57" s="129"/>
      <c r="F57" s="129" t="s">
        <v>770</v>
      </c>
      <c r="G57" s="130" t="str">
        <f>VLOOKUP(A57,'Main Data File'!$C$4:$U$146,17,FALSE)</f>
        <v>P-675C</v>
      </c>
      <c r="H57" s="129"/>
      <c r="I57" s="12" t="str">
        <f>VLOOKUP(A57,'Main Data File'!$C$4:$U$146,2,FALSE)</f>
        <v>Brass Stem - C1727H</v>
      </c>
      <c r="J57" s="12" t="str">
        <f>VLOOKUP(A57,'Main Data File'!$C$4:$U$146,18,FALSE)</f>
        <v>Modify USH instructions</v>
      </c>
      <c r="K57" s="129" t="s">
        <v>71</v>
      </c>
      <c r="L57" s="129"/>
      <c r="M57" s="129"/>
      <c r="N57" s="129"/>
      <c r="O57" s="129">
        <f>VLOOKUP(A57,'Main Data File'!$C$4:$U$146,3,FALSE)</f>
        <v>5.7</v>
      </c>
      <c r="P57" s="129">
        <f>VLOOKUP(A57,'Main Data File'!$C$4:$U$146,5,FALSE)</f>
        <v>1</v>
      </c>
      <c r="Q57" s="129">
        <f>VLOOKUP(A57,'Main Data File'!$C$4:$U$146,4,FALSE)</f>
        <v>3.65</v>
      </c>
      <c r="R57" s="129">
        <f>VLOOKUP(A57,'Main Data File'!$C$4:$U$146,6,FALSE)</f>
        <v>0.22</v>
      </c>
      <c r="S57" s="131">
        <f>VLOOKUP(A57,'Main Data File'!$C$4:$U$146,7,FALSE)</f>
        <v>1.2039930555555555E-2</v>
      </c>
      <c r="T57" s="129" t="str">
        <f>VLOOKUP(A57,'Main Data File'!$C$4:$U$146,8,FALSE)</f>
        <v>Heat Formed Plastic</v>
      </c>
      <c r="U57" s="129"/>
      <c r="V57" s="129"/>
      <c r="W57" s="129"/>
      <c r="X57" s="129"/>
      <c r="Y57" s="129"/>
      <c r="Z57" s="129"/>
      <c r="AA57" s="129"/>
      <c r="AB57" s="129"/>
      <c r="AC57" s="129"/>
      <c r="AD57" s="129"/>
      <c r="AE57" s="129"/>
      <c r="AF57" s="129"/>
      <c r="AG57" s="129"/>
      <c r="AH57" s="129"/>
      <c r="AI57" s="129"/>
      <c r="AJ57" s="129"/>
      <c r="AK57" s="129"/>
      <c r="AL57" s="129"/>
      <c r="AM57" s="129"/>
      <c r="AN57" s="129"/>
      <c r="AO57" s="129"/>
      <c r="AP57" s="10"/>
      <c r="AQ57" s="132">
        <f>VLOOKUP(A57,'Main Data File'!$C$4:$U$146,10,FALSE)</f>
        <v>1104.0000000000002</v>
      </c>
      <c r="AR57" s="133" t="e">
        <f>VLOOKUP(A57,#REF!,44,FALSE)</f>
        <v>#REF!</v>
      </c>
      <c r="AS57" s="133" t="e">
        <f>VLOOKUP(A57,#REF!,24,FALSE)</f>
        <v>#REF!</v>
      </c>
      <c r="AT57" s="129"/>
      <c r="AU57" s="134" t="e">
        <f t="shared" si="0"/>
        <v>#REF!</v>
      </c>
      <c r="AV57" s="139"/>
      <c r="AW57" s="133" t="e">
        <f>VLOOKUP(A57,#REF!,25,FALSE)</f>
        <v>#REF!</v>
      </c>
      <c r="AX57" s="133" t="str">
        <f>VLOOKUP(A57,'Lowe''s final SKU list'!$C$2:$Q$99,2,FALSE)</f>
        <v>YES</v>
      </c>
      <c r="AY57" s="135" t="str">
        <f>VLOOKUP(A57,'Main Data File'!$C$4:$U$146,16,FALSE)</f>
        <v>x</v>
      </c>
      <c r="AZ57" s="135">
        <f>VLOOKUP(A57,'Main Data File'!$C$4:$U$146,13,FALSE)</f>
        <v>0</v>
      </c>
      <c r="BA57" s="135" t="str">
        <f>VLOOKUP(A57,'Main Data File'!$C$4:$U$146,14,FALSE)</f>
        <v>x</v>
      </c>
      <c r="BB57" s="135">
        <f>VLOOKUP(A57,'Main Data File'!$C$4:$U$146,15,FALSE)</f>
        <v>0</v>
      </c>
    </row>
    <row r="58" spans="1:54" ht="54" customHeight="1">
      <c r="A58" s="16" t="s">
        <v>130</v>
      </c>
      <c r="B58" s="16" t="str">
        <f>VLOOKUP(A58,'Main Data File'!$C$4:$U$146,19,FALSE)</f>
        <v>Andy</v>
      </c>
      <c r="C58" s="16"/>
      <c r="D58" s="16"/>
      <c r="E58" s="129"/>
      <c r="F58" s="129" t="e">
        <v>#N/A</v>
      </c>
      <c r="G58" s="130" t="str">
        <f>VLOOKUP(A58,'Main Data File'!$C$4:$U$146,17,FALSE)</f>
        <v>P-1550</v>
      </c>
      <c r="H58" s="129"/>
      <c r="I58" s="12" t="str">
        <f>VLOOKUP(A58,'Main Data File'!$C$4:$U$146,2,FALSE)</f>
        <v>Diverter Parts For Tub Spouts</v>
      </c>
      <c r="J58" s="12" t="str">
        <f>VLOOKUP(A58,'Main Data File'!$C$4:$U$146,18,FALSE)</f>
        <v>Write from scratch</v>
      </c>
      <c r="K58" s="129" t="s">
        <v>71</v>
      </c>
      <c r="L58" s="129"/>
      <c r="M58" s="129"/>
      <c r="N58" s="129"/>
      <c r="O58" s="129">
        <f>VLOOKUP(A58,'Main Data File'!$C$4:$U$146,3,FALSE)</f>
        <v>5.7</v>
      </c>
      <c r="P58" s="129">
        <f>VLOOKUP(A58,'Main Data File'!$C$4:$U$146,5,FALSE)</f>
        <v>1</v>
      </c>
      <c r="Q58" s="129">
        <f>VLOOKUP(A58,'Main Data File'!$C$4:$U$146,4,FALSE)</f>
        <v>3.65</v>
      </c>
      <c r="R58" s="129">
        <f>VLOOKUP(A58,'Main Data File'!$C$4:$U$146,6,FALSE)</f>
        <v>0.04</v>
      </c>
      <c r="S58" s="131">
        <f>VLOOKUP(A58,'Main Data File'!$C$4:$U$146,7,FALSE)</f>
        <v>1.2039930555555555E-2</v>
      </c>
      <c r="T58" s="129" t="str">
        <f>VLOOKUP(A58,'Main Data File'!$C$4:$U$146,8,FALSE)</f>
        <v>Heat Formed Plastic</v>
      </c>
      <c r="U58" s="129"/>
      <c r="V58" s="129"/>
      <c r="W58" s="129"/>
      <c r="X58" s="129"/>
      <c r="Y58" s="129"/>
      <c r="Z58" s="129"/>
      <c r="AA58" s="129"/>
      <c r="AB58" s="129"/>
      <c r="AC58" s="129"/>
      <c r="AD58" s="129"/>
      <c r="AE58" s="129"/>
      <c r="AF58" s="129"/>
      <c r="AG58" s="129"/>
      <c r="AH58" s="129"/>
      <c r="AI58" s="129"/>
      <c r="AJ58" s="129"/>
      <c r="AK58" s="129"/>
      <c r="AL58" s="129"/>
      <c r="AM58" s="129"/>
      <c r="AN58" s="129"/>
      <c r="AO58" s="129"/>
      <c r="AP58" s="10"/>
      <c r="AQ58" s="132">
        <f>VLOOKUP(A58,'Main Data File'!$C$4:$U$146,10,FALSE)</f>
        <v>340.00000000000006</v>
      </c>
      <c r="AR58" s="133" t="e">
        <f>VLOOKUP(A58,#REF!,44,FALSE)</f>
        <v>#REF!</v>
      </c>
      <c r="AS58" s="133" t="e">
        <f>VLOOKUP(A58,#REF!,24,FALSE)</f>
        <v>#REF!</v>
      </c>
      <c r="AT58" s="129"/>
      <c r="AU58" s="134" t="e">
        <f t="shared" si="0"/>
        <v>#REF!</v>
      </c>
      <c r="AV58" s="139"/>
      <c r="AW58" s="133" t="e">
        <f>VLOOKUP(A58,#REF!,25,FALSE)</f>
        <v>#REF!</v>
      </c>
      <c r="AX58" s="133" t="str">
        <f>VLOOKUP(A58,'Lowe''s final SKU list'!$C$2:$Q$99,2,FALSE)</f>
        <v>YES</v>
      </c>
      <c r="AY58" s="135" t="str">
        <f>VLOOKUP(A58,'Main Data File'!$C$4:$U$146,16,FALSE)</f>
        <v>x</v>
      </c>
      <c r="AZ58" s="135">
        <f>VLOOKUP(A58,'Main Data File'!$C$4:$U$146,13,FALSE)</f>
        <v>0</v>
      </c>
      <c r="BA58" s="135">
        <f>VLOOKUP(A58,'Main Data File'!$C$4:$U$146,14,FALSE)</f>
        <v>0</v>
      </c>
      <c r="BB58" s="135">
        <f>VLOOKUP(A58,'Main Data File'!$C$4:$U$146,15,FALSE)</f>
        <v>0</v>
      </c>
    </row>
    <row r="59" spans="1:54" ht="54" customHeight="1">
      <c r="A59" s="16" t="s">
        <v>131</v>
      </c>
      <c r="B59" s="16" t="str">
        <f>VLOOKUP(A59,'Main Data File'!$C$4:$U$146,19,FALSE)</f>
        <v>Andy</v>
      </c>
      <c r="C59" s="16"/>
      <c r="D59" s="16"/>
      <c r="E59" s="129"/>
      <c r="F59" s="129">
        <v>690507</v>
      </c>
      <c r="G59" s="130" t="str">
        <f>VLOOKUP(A59,'Main Data File'!$C$4:$U$146,17,FALSE)</f>
        <v>P-050B</v>
      </c>
      <c r="H59" s="129"/>
      <c r="I59" s="12" t="str">
        <f>VLOOKUP(A59,'Main Data File'!$C$4:$U$146,2,FALSE)</f>
        <v>8" Two-Valve Tub Shower Faucet Offset Shanks</v>
      </c>
      <c r="J59" s="12" t="str">
        <f>VLOOKUP(A59,'Main Data File'!$C$4:$U$146,18,FALSE)</f>
        <v>Modify USH instructions</v>
      </c>
      <c r="K59" s="129" t="s">
        <v>71</v>
      </c>
      <c r="L59" s="129"/>
      <c r="M59" s="129"/>
      <c r="N59" s="129"/>
      <c r="O59" s="129">
        <f>VLOOKUP(A59,'Main Data File'!$C$4:$U$146,3,FALSE)</f>
        <v>12</v>
      </c>
      <c r="P59" s="129">
        <f>VLOOKUP(A59,'Main Data File'!$C$4:$U$146,5,FALSE)</f>
        <v>3.5</v>
      </c>
      <c r="Q59" s="129">
        <f>VLOOKUP(A59,'Main Data File'!$C$4:$U$146,4,FALSE)</f>
        <v>11.5</v>
      </c>
      <c r="R59" s="129">
        <f>VLOOKUP(A59,'Main Data File'!$C$4:$U$146,6,FALSE)</f>
        <v>1.91</v>
      </c>
      <c r="S59" s="131">
        <f>VLOOKUP(A59,'Main Data File'!$C$4:$U$146,7,FALSE)</f>
        <v>0.2795138888888889</v>
      </c>
      <c r="T59" s="129" t="str">
        <f>VLOOKUP(A59,'Main Data File'!$C$4:$U$146,8,FALSE)</f>
        <v>Heat Formed Plastic</v>
      </c>
      <c r="U59" s="129"/>
      <c r="V59" s="129"/>
      <c r="W59" s="129"/>
      <c r="X59" s="129"/>
      <c r="Y59" s="129"/>
      <c r="Z59" s="129"/>
      <c r="AA59" s="129"/>
      <c r="AB59" s="129"/>
      <c r="AC59" s="129"/>
      <c r="AD59" s="129"/>
      <c r="AE59" s="129"/>
      <c r="AF59" s="129"/>
      <c r="AG59" s="129"/>
      <c r="AH59" s="129"/>
      <c r="AI59" s="129"/>
      <c r="AJ59" s="129"/>
      <c r="AK59" s="129"/>
      <c r="AL59" s="129"/>
      <c r="AM59" s="129"/>
      <c r="AN59" s="129"/>
      <c r="AO59" s="129"/>
      <c r="AP59" s="10"/>
      <c r="AQ59" s="132">
        <f>VLOOKUP(A59,'Main Data File'!$C$4:$U$146,10,FALSE)</f>
        <v>22386</v>
      </c>
      <c r="AR59" s="133" t="e">
        <f>VLOOKUP(A59,#REF!,44,FALSE)</f>
        <v>#REF!</v>
      </c>
      <c r="AS59" s="133" t="e">
        <f>VLOOKUP(A59,#REF!,24,FALSE)</f>
        <v>#REF!</v>
      </c>
      <c r="AT59" s="129"/>
      <c r="AU59" s="134" t="e">
        <f t="shared" si="0"/>
        <v>#REF!</v>
      </c>
      <c r="AV59" s="139"/>
      <c r="AW59" s="133" t="e">
        <f>VLOOKUP(A59,#REF!,25,FALSE)</f>
        <v>#REF!</v>
      </c>
      <c r="AX59" s="133" t="str">
        <f>VLOOKUP(A59,'Lowe''s final SKU list'!$C$2:$Q$99,2,FALSE)</f>
        <v>YES</v>
      </c>
      <c r="AY59" s="135" t="str">
        <f>VLOOKUP(A59,'Main Data File'!$C$4:$U$146,16,FALSE)</f>
        <v>x</v>
      </c>
      <c r="AZ59" s="135" t="str">
        <f>VLOOKUP(A59,'Main Data File'!$C$4:$U$146,13,FALSE)</f>
        <v>x</v>
      </c>
      <c r="BA59" s="135">
        <f>VLOOKUP(A59,'Main Data File'!$C$4:$U$146,14,FALSE)</f>
        <v>0</v>
      </c>
      <c r="BB59" s="135" t="str">
        <f>VLOOKUP(A59,'Main Data File'!$C$4:$U$146,15,FALSE)</f>
        <v>x</v>
      </c>
    </row>
    <row r="60" spans="1:54" ht="54" customHeight="1">
      <c r="A60" s="16" t="s">
        <v>132</v>
      </c>
      <c r="B60" s="16" t="str">
        <f>VLOOKUP(A60,'Main Data File'!$C$4:$U$146,19,FALSE)</f>
        <v>Andy</v>
      </c>
      <c r="C60" s="16"/>
      <c r="D60" s="16"/>
      <c r="E60" s="129"/>
      <c r="F60" s="129" t="s">
        <v>771</v>
      </c>
      <c r="G60" s="130" t="str">
        <f>VLOOKUP(A60,'Main Data File'!$C$4:$U$146,17,FALSE)</f>
        <v>P-045C</v>
      </c>
      <c r="H60" s="129"/>
      <c r="I60" s="12" t="str">
        <f>VLOOKUP(A60,'Main Data File'!$C$4:$U$146,2,FALSE)</f>
        <v>Acrylic Faucet Handles Clear</v>
      </c>
      <c r="J60" s="12" t="str">
        <f>VLOOKUP(A60,'Main Data File'!$C$4:$U$146,18,FALSE)</f>
        <v>Modify USH instructions</v>
      </c>
      <c r="K60" s="129" t="s">
        <v>71</v>
      </c>
      <c r="L60" s="129"/>
      <c r="M60" s="129"/>
      <c r="N60" s="129"/>
      <c r="O60" s="129">
        <f>VLOOKUP(A60,'Main Data File'!$C$4:$U$146,3,FALSE)</f>
        <v>5.7</v>
      </c>
      <c r="P60" s="129">
        <f>VLOOKUP(A60,'Main Data File'!$C$4:$U$146,5,FALSE)</f>
        <v>1.75</v>
      </c>
      <c r="Q60" s="129">
        <f>VLOOKUP(A60,'Main Data File'!$C$4:$U$146,4,FALSE)</f>
        <v>3.65</v>
      </c>
      <c r="R60" s="129">
        <f>VLOOKUP(A60,'Main Data File'!$C$4:$U$146,6,FALSE)</f>
        <v>0.28000000000000003</v>
      </c>
      <c r="S60" s="131">
        <f>VLOOKUP(A60,'Main Data File'!$C$4:$U$146,7,FALSE)</f>
        <v>2.106987847222222E-2</v>
      </c>
      <c r="T60" s="129" t="str">
        <f>VLOOKUP(A60,'Main Data File'!$C$4:$U$146,8,FALSE)</f>
        <v>Heat Formed Plastic</v>
      </c>
      <c r="U60" s="129"/>
      <c r="V60" s="129"/>
      <c r="W60" s="129"/>
      <c r="X60" s="129"/>
      <c r="Y60" s="129"/>
      <c r="Z60" s="129"/>
      <c r="AA60" s="129"/>
      <c r="AB60" s="129"/>
      <c r="AC60" s="129"/>
      <c r="AD60" s="129"/>
      <c r="AE60" s="129"/>
      <c r="AF60" s="129"/>
      <c r="AG60" s="129"/>
      <c r="AH60" s="129"/>
      <c r="AI60" s="129"/>
      <c r="AJ60" s="129"/>
      <c r="AK60" s="129"/>
      <c r="AL60" s="129"/>
      <c r="AM60" s="129"/>
      <c r="AN60" s="129"/>
      <c r="AO60" s="129"/>
      <c r="AP60" s="10"/>
      <c r="AQ60" s="132">
        <f>VLOOKUP(A60,'Main Data File'!$C$4:$U$146,10,FALSE)</f>
        <v>20580</v>
      </c>
      <c r="AR60" s="133" t="e">
        <f>VLOOKUP(A60,#REF!,44,FALSE)</f>
        <v>#REF!</v>
      </c>
      <c r="AS60" s="133" t="e">
        <f>VLOOKUP(A60,#REF!,24,FALSE)</f>
        <v>#REF!</v>
      </c>
      <c r="AT60" s="129"/>
      <c r="AU60" s="134" t="e">
        <f t="shared" si="0"/>
        <v>#REF!</v>
      </c>
      <c r="AV60" s="139"/>
      <c r="AW60" s="133" t="e">
        <f>VLOOKUP(A60,#REF!,25,FALSE)</f>
        <v>#REF!</v>
      </c>
      <c r="AX60" s="133" t="str">
        <f>VLOOKUP(A60,'Lowe''s final SKU list'!$C$2:$Q$99,2,FALSE)</f>
        <v>YES</v>
      </c>
      <c r="AY60" s="135" t="str">
        <f>VLOOKUP(A60,'Main Data File'!$C$4:$U$146,16,FALSE)</f>
        <v>x</v>
      </c>
      <c r="AZ60" s="135" t="str">
        <f>VLOOKUP(A60,'Main Data File'!$C$4:$U$146,13,FALSE)</f>
        <v>x</v>
      </c>
      <c r="BA60" s="135" t="str">
        <f>VLOOKUP(A60,'Main Data File'!$C$4:$U$146,14,FALSE)</f>
        <v>x</v>
      </c>
      <c r="BB60" s="135" t="str">
        <f>VLOOKUP(A60,'Main Data File'!$C$4:$U$146,15,FALSE)</f>
        <v>x</v>
      </c>
    </row>
    <row r="61" spans="1:54" ht="54" customHeight="1">
      <c r="A61" s="17" t="s">
        <v>133</v>
      </c>
      <c r="B61" s="16" t="str">
        <f>VLOOKUP(A61,'Main Data File'!$C$4:$U$146,19,FALSE)</f>
        <v>Andy</v>
      </c>
      <c r="C61" s="16"/>
      <c r="D61" s="16"/>
      <c r="E61" s="129"/>
      <c r="F61" s="129" t="s">
        <v>772</v>
      </c>
      <c r="G61" s="130" t="str">
        <f>VLOOKUP(A61,'Main Data File'!$C$4:$U$146,17,FALSE)</f>
        <v>P-673C</v>
      </c>
      <c r="H61" s="129"/>
      <c r="I61" s="12" t="str">
        <f>VLOOKUP(A61,'Main Data File'!$C$4:$U$146,2,FALSE)</f>
        <v>Brass Stem - Assume 2J-2H Amer. Brass</v>
      </c>
      <c r="J61" s="12" t="str">
        <f>VLOOKUP(A61,'Main Data File'!$C$4:$U$146,18,FALSE)</f>
        <v>Modify USH instructions</v>
      </c>
      <c r="K61" s="129" t="s">
        <v>71</v>
      </c>
      <c r="L61" s="129"/>
      <c r="M61" s="129"/>
      <c r="N61" s="129"/>
      <c r="O61" s="129">
        <f>VLOOKUP(A61,'Main Data File'!$C$4:$U$146,3,FALSE)</f>
        <v>5.7</v>
      </c>
      <c r="P61" s="129">
        <f>VLOOKUP(A61,'Main Data File'!$C$4:$U$146,5,FALSE)</f>
        <v>1.25</v>
      </c>
      <c r="Q61" s="129">
        <f>VLOOKUP(A61,'Main Data File'!$C$4:$U$146,4,FALSE)</f>
        <v>3.65</v>
      </c>
      <c r="R61" s="129">
        <f>VLOOKUP(A61,'Main Data File'!$C$4:$U$146,6,FALSE)</f>
        <v>0.19</v>
      </c>
      <c r="S61" s="131">
        <f>VLOOKUP(A61,'Main Data File'!$C$4:$U$146,7,FALSE)</f>
        <v>1.5049913194444445E-2</v>
      </c>
      <c r="T61" s="129" t="str">
        <f>VLOOKUP(A61,'Main Data File'!$C$4:$U$146,8,FALSE)</f>
        <v>Heat Formed Plastic</v>
      </c>
      <c r="U61" s="129"/>
      <c r="V61" s="129"/>
      <c r="W61" s="129"/>
      <c r="X61" s="129"/>
      <c r="Y61" s="129"/>
      <c r="Z61" s="129"/>
      <c r="AA61" s="129"/>
      <c r="AB61" s="129"/>
      <c r="AC61" s="129"/>
      <c r="AD61" s="129"/>
      <c r="AE61" s="129"/>
      <c r="AF61" s="129"/>
      <c r="AG61" s="129"/>
      <c r="AH61" s="129"/>
      <c r="AI61" s="129"/>
      <c r="AJ61" s="129"/>
      <c r="AK61" s="129"/>
      <c r="AL61" s="129"/>
      <c r="AM61" s="129"/>
      <c r="AN61" s="129"/>
      <c r="AO61" s="129"/>
      <c r="AP61" s="11"/>
      <c r="AQ61" s="132">
        <f>VLOOKUP(A61,'Main Data File'!$C$4:$U$146,10,FALSE)</f>
        <v>408</v>
      </c>
      <c r="AR61" s="133" t="e">
        <f>VLOOKUP(A61,#REF!,44,FALSE)</f>
        <v>#REF!</v>
      </c>
      <c r="AS61" s="133" t="e">
        <f>VLOOKUP(A61,#REF!,24,FALSE)</f>
        <v>#REF!</v>
      </c>
      <c r="AT61" s="129"/>
      <c r="AU61" s="134" t="e">
        <f t="shared" si="0"/>
        <v>#REF!</v>
      </c>
      <c r="AV61" s="139"/>
      <c r="AW61" s="133" t="e">
        <f>VLOOKUP(A61,#REF!,25,FALSE)</f>
        <v>#REF!</v>
      </c>
      <c r="AX61" s="133" t="str">
        <f>VLOOKUP(A61,'Lowe''s final SKU list'!$C$2:$Q$99,2,FALSE)</f>
        <v>YES</v>
      </c>
      <c r="AY61" s="135" t="str">
        <f>VLOOKUP(A61,'Main Data File'!$C$4:$U$146,16,FALSE)</f>
        <v>x</v>
      </c>
      <c r="AZ61" s="135">
        <f>VLOOKUP(A61,'Main Data File'!$C$4:$U$146,13,FALSE)</f>
        <v>0</v>
      </c>
      <c r="BA61" s="135">
        <f>VLOOKUP(A61,'Main Data File'!$C$4:$U$146,14,FALSE)</f>
        <v>0</v>
      </c>
      <c r="BB61" s="135">
        <f>VLOOKUP(A61,'Main Data File'!$C$4:$U$146,15,FALSE)</f>
        <v>0</v>
      </c>
    </row>
    <row r="62" spans="1:54" ht="54" customHeight="1">
      <c r="A62" s="17" t="s">
        <v>134</v>
      </c>
      <c r="B62" s="16" t="str">
        <f>VLOOKUP(A62,'Main Data File'!$C$4:$U$146,19,FALSE)</f>
        <v>Andy</v>
      </c>
      <c r="C62" s="16"/>
      <c r="D62" s="16"/>
      <c r="E62" s="129"/>
      <c r="F62" s="129" t="s">
        <v>773</v>
      </c>
      <c r="G62" s="130" t="str">
        <f>VLOOKUP(A62,'Main Data File'!$C$4:$U$146,17,FALSE)</f>
        <v>P-672C</v>
      </c>
      <c r="H62" s="129"/>
      <c r="I62" s="12" t="str">
        <f>VLOOKUP(A62,'Main Data File'!$C$4:$U$146,2,FALSE)</f>
        <v>Brass Stem - Assume 2J-3H Streamway</v>
      </c>
      <c r="J62" s="12" t="str">
        <f>VLOOKUP(A62,'Main Data File'!$C$4:$U$146,18,FALSE)</f>
        <v>Modify USH instructions</v>
      </c>
      <c r="K62" s="129" t="s">
        <v>71</v>
      </c>
      <c r="L62" s="129"/>
      <c r="M62" s="129"/>
      <c r="N62" s="129"/>
      <c r="O62" s="129">
        <f>VLOOKUP(A62,'Main Data File'!$C$4:$U$146,3,FALSE)</f>
        <v>5.7</v>
      </c>
      <c r="P62" s="129">
        <f>VLOOKUP(A62,'Main Data File'!$C$4:$U$146,5,FALSE)</f>
        <v>1.25</v>
      </c>
      <c r="Q62" s="129">
        <f>VLOOKUP(A62,'Main Data File'!$C$4:$U$146,4,FALSE)</f>
        <v>3.65</v>
      </c>
      <c r="R62" s="129">
        <f>VLOOKUP(A62,'Main Data File'!$C$4:$U$146,6,FALSE)</f>
        <v>0.21</v>
      </c>
      <c r="S62" s="131">
        <f>VLOOKUP(A62,'Main Data File'!$C$4:$U$146,7,FALSE)</f>
        <v>1.5049913194444445E-2</v>
      </c>
      <c r="T62" s="129" t="str">
        <f>VLOOKUP(A62,'Main Data File'!$C$4:$U$146,8,FALSE)</f>
        <v>Heat Formed Plastic</v>
      </c>
      <c r="U62" s="129"/>
      <c r="V62" s="129"/>
      <c r="W62" s="129"/>
      <c r="X62" s="129"/>
      <c r="Y62" s="129"/>
      <c r="Z62" s="129"/>
      <c r="AA62" s="129"/>
      <c r="AB62" s="129"/>
      <c r="AC62" s="129"/>
      <c r="AD62" s="129"/>
      <c r="AE62" s="129"/>
      <c r="AF62" s="129"/>
      <c r="AG62" s="129"/>
      <c r="AH62" s="129"/>
      <c r="AI62" s="129"/>
      <c r="AJ62" s="129"/>
      <c r="AK62" s="129"/>
      <c r="AL62" s="129"/>
      <c r="AM62" s="129"/>
      <c r="AN62" s="129"/>
      <c r="AO62" s="129"/>
      <c r="AP62" s="11"/>
      <c r="AQ62" s="132">
        <f>VLOOKUP(A62,'Main Data File'!$C$4:$U$146,10,FALSE)</f>
        <v>680.00000000000011</v>
      </c>
      <c r="AR62" s="133" t="e">
        <f>VLOOKUP(A62,#REF!,44,FALSE)</f>
        <v>#REF!</v>
      </c>
      <c r="AS62" s="133" t="e">
        <f>VLOOKUP(A62,#REF!,24,FALSE)</f>
        <v>#REF!</v>
      </c>
      <c r="AT62" s="129"/>
      <c r="AU62" s="134" t="e">
        <f t="shared" si="0"/>
        <v>#REF!</v>
      </c>
      <c r="AV62" s="139"/>
      <c r="AW62" s="133" t="e">
        <f>VLOOKUP(A62,#REF!,25,FALSE)</f>
        <v>#REF!</v>
      </c>
      <c r="AX62" s="133" t="str">
        <f>VLOOKUP(A62,'Lowe''s final SKU list'!$C$2:$Q$99,2,FALSE)</f>
        <v>YES</v>
      </c>
      <c r="AY62" s="135" t="str">
        <f>VLOOKUP(A62,'Main Data File'!$C$4:$U$146,16,FALSE)</f>
        <v>x</v>
      </c>
      <c r="AZ62" s="135">
        <f>VLOOKUP(A62,'Main Data File'!$C$4:$U$146,13,FALSE)</f>
        <v>0</v>
      </c>
      <c r="BA62" s="135">
        <f>VLOOKUP(A62,'Main Data File'!$C$4:$U$146,14,FALSE)</f>
        <v>0</v>
      </c>
      <c r="BB62" s="135">
        <f>VLOOKUP(A62,'Main Data File'!$C$4:$U$146,15,FALSE)</f>
        <v>0</v>
      </c>
    </row>
    <row r="63" spans="1:54" ht="54" customHeight="1">
      <c r="A63" s="16" t="s">
        <v>135</v>
      </c>
      <c r="B63" s="16" t="str">
        <f>VLOOKUP(A63,'Main Data File'!$C$4:$U$146,19,FALSE)</f>
        <v>Andy</v>
      </c>
      <c r="C63" s="16"/>
      <c r="D63" s="16"/>
      <c r="E63" s="129"/>
      <c r="F63" s="129" t="s">
        <v>774</v>
      </c>
      <c r="G63" s="130" t="str">
        <f>VLOOKUP(A63,'Main Data File'!$C$4:$U$146,17,FALSE)</f>
        <v>P-674C</v>
      </c>
      <c r="H63" s="129"/>
      <c r="I63" s="12" t="str">
        <f>VLOOKUP(A63,'Main Data File'!$C$4:$U$146,2,FALSE)</f>
        <v>Brass Stem - Assume 2J-8H/C (1798CH)</v>
      </c>
      <c r="J63" s="12" t="str">
        <f>VLOOKUP(A63,'Main Data File'!$C$4:$U$146,18,FALSE)</f>
        <v>Modify USH instructions</v>
      </c>
      <c r="K63" s="129" t="s">
        <v>71</v>
      </c>
      <c r="L63" s="129"/>
      <c r="M63" s="129"/>
      <c r="N63" s="129"/>
      <c r="O63" s="129">
        <f>VLOOKUP(A63,'Main Data File'!$C$4:$U$146,3,FALSE)</f>
        <v>5.7</v>
      </c>
      <c r="P63" s="129">
        <f>VLOOKUP(A63,'Main Data File'!$C$4:$U$146,5,FALSE)</f>
        <v>1.25</v>
      </c>
      <c r="Q63" s="129">
        <f>VLOOKUP(A63,'Main Data File'!$C$4:$U$146,4,FALSE)</f>
        <v>3.65</v>
      </c>
      <c r="R63" s="129">
        <f>VLOOKUP(A63,'Main Data File'!$C$4:$U$146,6,FALSE)</f>
        <v>0.2</v>
      </c>
      <c r="S63" s="131">
        <f>VLOOKUP(A63,'Main Data File'!$C$4:$U$146,7,FALSE)</f>
        <v>1.5049913194444445E-2</v>
      </c>
      <c r="T63" s="129" t="str">
        <f>VLOOKUP(A63,'Main Data File'!$C$4:$U$146,8,FALSE)</f>
        <v>Heat Formed Plastic</v>
      </c>
      <c r="U63" s="129"/>
      <c r="V63" s="129"/>
      <c r="W63" s="129"/>
      <c r="X63" s="129"/>
      <c r="Y63" s="129"/>
      <c r="Z63" s="129"/>
      <c r="AA63" s="129"/>
      <c r="AB63" s="129"/>
      <c r="AC63" s="129"/>
      <c r="AD63" s="129"/>
      <c r="AE63" s="129"/>
      <c r="AF63" s="129"/>
      <c r="AG63" s="129"/>
      <c r="AH63" s="129"/>
      <c r="AI63" s="129"/>
      <c r="AJ63" s="129"/>
      <c r="AK63" s="129"/>
      <c r="AL63" s="129"/>
      <c r="AM63" s="129"/>
      <c r="AN63" s="129"/>
      <c r="AO63" s="129"/>
      <c r="AP63" s="10"/>
      <c r="AQ63" s="132">
        <f>VLOOKUP(A63,'Main Data File'!$C$4:$U$146,10,FALSE)</f>
        <v>25584</v>
      </c>
      <c r="AR63" s="133" t="e">
        <f>VLOOKUP(A63,#REF!,44,FALSE)</f>
        <v>#REF!</v>
      </c>
      <c r="AS63" s="133" t="e">
        <f>VLOOKUP(A63,#REF!,24,FALSE)</f>
        <v>#REF!</v>
      </c>
      <c r="AT63" s="129"/>
      <c r="AU63" s="134" t="e">
        <f t="shared" si="0"/>
        <v>#REF!</v>
      </c>
      <c r="AV63" s="139"/>
      <c r="AW63" s="133" t="e">
        <f>VLOOKUP(A63,#REF!,25,FALSE)</f>
        <v>#REF!</v>
      </c>
      <c r="AX63" s="133" t="str">
        <f>VLOOKUP(A63,'Lowe''s final SKU list'!$C$2:$Q$99,2,FALSE)</f>
        <v>YES</v>
      </c>
      <c r="AY63" s="135" t="str">
        <f>VLOOKUP(A63,'Main Data File'!$C$4:$U$146,16,FALSE)</f>
        <v>x</v>
      </c>
      <c r="AZ63" s="135" t="str">
        <f>VLOOKUP(A63,'Main Data File'!$C$4:$U$146,13,FALSE)</f>
        <v>x</v>
      </c>
      <c r="BA63" s="135">
        <f>VLOOKUP(A63,'Main Data File'!$C$4:$U$146,14,FALSE)</f>
        <v>0</v>
      </c>
      <c r="BB63" s="135" t="str">
        <f>VLOOKUP(A63,'Main Data File'!$C$4:$U$146,15,FALSE)</f>
        <v>x</v>
      </c>
    </row>
    <row r="64" spans="1:54" ht="54" hidden="1" customHeight="1">
      <c r="A64" s="16" t="s">
        <v>353</v>
      </c>
      <c r="B64" s="16" t="str">
        <f>VLOOKUP(A64,'Main Data File'!$C$4:$U$146,19,FALSE)</f>
        <v>Andy</v>
      </c>
      <c r="C64" s="16"/>
      <c r="D64" s="16"/>
      <c r="E64" s="129"/>
      <c r="F64" s="129" t="s">
        <v>775</v>
      </c>
      <c r="G64" s="130" t="str">
        <f>VLOOKUP(A64,'Main Data File'!$C$4:$U$146,17,FALSE)</f>
        <v>P-045SC</v>
      </c>
      <c r="H64" s="129"/>
      <c r="I64" s="12" t="str">
        <f>VLOOKUP(A64,'Main Data File'!$C$4:$U$146,2,FALSE)</f>
        <v>Acrylic Faucet Handles Smoke</v>
      </c>
      <c r="J64" s="12" t="str">
        <f>VLOOKUP(A64,'Main Data File'!$C$4:$U$146,18,FALSE)</f>
        <v>Use back of World and Main card #C424</v>
      </c>
      <c r="K64" s="129" t="s">
        <v>71</v>
      </c>
      <c r="L64" s="129"/>
      <c r="M64" s="129"/>
      <c r="N64" s="129"/>
      <c r="O64" s="129">
        <f>VLOOKUP(A64,'Main Data File'!$C$4:$U$146,3,FALSE)</f>
        <v>5.7</v>
      </c>
      <c r="P64" s="129">
        <f>VLOOKUP(A64,'Main Data File'!$C$4:$U$146,5,FALSE)</f>
        <v>1.75</v>
      </c>
      <c r="Q64" s="129">
        <f>VLOOKUP(A64,'Main Data File'!$C$4:$U$146,4,FALSE)</f>
        <v>3.65</v>
      </c>
      <c r="R64" s="129">
        <f>VLOOKUP(A64,'Main Data File'!$C$4:$U$146,6,FALSE)</f>
        <v>0.28000000000000003</v>
      </c>
      <c r="S64" s="131">
        <f>VLOOKUP(A64,'Main Data File'!$C$4:$U$146,7,FALSE)</f>
        <v>2.106987847222222E-2</v>
      </c>
      <c r="T64" s="129" t="str">
        <f>VLOOKUP(A64,'Main Data File'!$C$4:$U$146,8,FALSE)</f>
        <v>Heat Formed Plastic</v>
      </c>
      <c r="U64" s="129"/>
      <c r="V64" s="129"/>
      <c r="W64" s="129"/>
      <c r="X64" s="129"/>
      <c r="Y64" s="129"/>
      <c r="Z64" s="129"/>
      <c r="AA64" s="129"/>
      <c r="AB64" s="129"/>
      <c r="AC64" s="129"/>
      <c r="AD64" s="129"/>
      <c r="AE64" s="129"/>
      <c r="AF64" s="129"/>
      <c r="AG64" s="129"/>
      <c r="AH64" s="129"/>
      <c r="AI64" s="129"/>
      <c r="AJ64" s="129"/>
      <c r="AK64" s="129"/>
      <c r="AL64" s="129"/>
      <c r="AM64" s="129"/>
      <c r="AN64" s="129"/>
      <c r="AO64" s="129"/>
      <c r="AP64" s="10"/>
      <c r="AQ64" s="132">
        <f>VLOOKUP(A64,'Main Data File'!$C$4:$U$146,10,FALSE)</f>
        <v>7515</v>
      </c>
      <c r="AR64" s="133" t="e">
        <f>VLOOKUP(A64,#REF!,44,FALSE)</f>
        <v>#REF!</v>
      </c>
      <c r="AS64" s="133" t="e">
        <f>VLOOKUP(A64,#REF!,24,FALSE)</f>
        <v>#REF!</v>
      </c>
      <c r="AT64" s="129"/>
      <c r="AU64" s="134" t="e">
        <f t="shared" si="0"/>
        <v>#REF!</v>
      </c>
      <c r="AV64" s="139"/>
      <c r="AW64" s="133" t="e">
        <f>VLOOKUP(A64,#REF!,25,FALSE)</f>
        <v>#REF!</v>
      </c>
      <c r="AX64" s="133" t="e">
        <f>VLOOKUP(A64,'Lowe''s final SKU list'!$C$2:$Q$99,2,FALSE)</f>
        <v>#N/A</v>
      </c>
      <c r="AY64" s="135">
        <f>VLOOKUP(A64,'Main Data File'!$C$4:$U$146,16,FALSE)</f>
        <v>0</v>
      </c>
      <c r="AZ64" s="135">
        <f>VLOOKUP(A64,'Main Data File'!$C$4:$U$146,13,FALSE)</f>
        <v>0</v>
      </c>
      <c r="BA64" s="135">
        <f>VLOOKUP(A64,'Main Data File'!$C$4:$U$146,14,FALSE)</f>
        <v>0</v>
      </c>
      <c r="BB64" s="135">
        <f>VLOOKUP(A64,'Main Data File'!$C$4:$U$146,15,FALSE)</f>
        <v>0</v>
      </c>
    </row>
    <row r="65" spans="1:54" ht="54" customHeight="1">
      <c r="A65" s="16" t="s">
        <v>136</v>
      </c>
      <c r="B65" s="16" t="str">
        <f>VLOOKUP(A65,'Main Data File'!$C$4:$U$146,19,FALSE)</f>
        <v>Andy</v>
      </c>
      <c r="C65" s="16"/>
      <c r="D65" s="16"/>
      <c r="E65" s="129"/>
      <c r="F65" s="129" t="s">
        <v>776</v>
      </c>
      <c r="G65" s="130" t="str">
        <f>VLOOKUP(A65,'Main Data File'!$C$4:$U$146,17,FALSE)</f>
        <v>P-402C</v>
      </c>
      <c r="H65" s="129"/>
      <c r="I65" s="12" t="str">
        <f>VLOOKUP(A65,'Main Data File'!$C$4:$U$146,2,FALSE)</f>
        <v>Acrylic Faucet Handles Utopia Style Clear</v>
      </c>
      <c r="J65" s="12" t="str">
        <f>VLOOKUP(A65,'Main Data File'!$C$4:$U$146,18,FALSE)</f>
        <v>Use back of World and Main card #C424</v>
      </c>
      <c r="K65" s="129" t="s">
        <v>71</v>
      </c>
      <c r="L65" s="129"/>
      <c r="M65" s="129"/>
      <c r="N65" s="129"/>
      <c r="O65" s="129">
        <f>VLOOKUP(A65,'Main Data File'!$C$4:$U$146,3,FALSE)</f>
        <v>5.7</v>
      </c>
      <c r="P65" s="129">
        <f>VLOOKUP(A65,'Main Data File'!$C$4:$U$146,5,FALSE)</f>
        <v>1.75</v>
      </c>
      <c r="Q65" s="129">
        <f>VLOOKUP(A65,'Main Data File'!$C$4:$U$146,4,FALSE)</f>
        <v>3.65</v>
      </c>
      <c r="R65" s="129">
        <f>VLOOKUP(A65,'Main Data File'!$C$4:$U$146,6,FALSE)</f>
        <v>0.25</v>
      </c>
      <c r="S65" s="131">
        <f>VLOOKUP(A65,'Main Data File'!$C$4:$U$146,7,FALSE)</f>
        <v>2.106987847222222E-2</v>
      </c>
      <c r="T65" s="129" t="str">
        <f>VLOOKUP(A65,'Main Data File'!$C$4:$U$146,8,FALSE)</f>
        <v>Heat Formed Plastic</v>
      </c>
      <c r="U65" s="129"/>
      <c r="V65" s="129"/>
      <c r="W65" s="129"/>
      <c r="X65" s="129"/>
      <c r="Y65" s="129"/>
      <c r="Z65" s="129"/>
      <c r="AA65" s="129"/>
      <c r="AB65" s="129"/>
      <c r="AC65" s="129"/>
      <c r="AD65" s="129"/>
      <c r="AE65" s="129"/>
      <c r="AF65" s="129"/>
      <c r="AG65" s="129"/>
      <c r="AH65" s="129"/>
      <c r="AI65" s="129"/>
      <c r="AJ65" s="129"/>
      <c r="AK65" s="129"/>
      <c r="AL65" s="129"/>
      <c r="AM65" s="129"/>
      <c r="AN65" s="129"/>
      <c r="AO65" s="129"/>
      <c r="AP65" s="10"/>
      <c r="AQ65" s="132">
        <f>VLOOKUP(A65,'Main Data File'!$C$4:$U$146,10,FALSE)</f>
        <v>1472.0000000000002</v>
      </c>
      <c r="AR65" s="133" t="e">
        <f>VLOOKUP(A65,#REF!,44,FALSE)</f>
        <v>#REF!</v>
      </c>
      <c r="AS65" s="133" t="e">
        <f>VLOOKUP(A65,#REF!,24,FALSE)</f>
        <v>#REF!</v>
      </c>
      <c r="AT65" s="129"/>
      <c r="AU65" s="134" t="e">
        <f t="shared" si="0"/>
        <v>#REF!</v>
      </c>
      <c r="AV65" s="139"/>
      <c r="AW65" s="133" t="e">
        <f>VLOOKUP(A65,#REF!,25,FALSE)</f>
        <v>#REF!</v>
      </c>
      <c r="AX65" s="133" t="str">
        <f>VLOOKUP(A65,'Lowe''s final SKU list'!$C$2:$Q$99,2,FALSE)</f>
        <v>YES</v>
      </c>
      <c r="AY65" s="135" t="str">
        <f>VLOOKUP(A65,'Main Data File'!$C$4:$U$146,16,FALSE)</f>
        <v>x</v>
      </c>
      <c r="AZ65" s="135">
        <f>VLOOKUP(A65,'Main Data File'!$C$4:$U$146,13,FALSE)</f>
        <v>0</v>
      </c>
      <c r="BA65" s="135" t="str">
        <f>VLOOKUP(A65,'Main Data File'!$C$4:$U$146,14,FALSE)</f>
        <v>x</v>
      </c>
      <c r="BB65" s="135">
        <f>VLOOKUP(A65,'Main Data File'!$C$4:$U$146,15,FALSE)</f>
        <v>0</v>
      </c>
    </row>
    <row r="66" spans="1:54" ht="54" customHeight="1">
      <c r="A66" s="16" t="s">
        <v>137</v>
      </c>
      <c r="B66" s="16" t="str">
        <f>VLOOKUP(A66,'Main Data File'!$C$4:$U$146,19,FALSE)</f>
        <v>Andy</v>
      </c>
      <c r="C66" s="16"/>
      <c r="D66" s="16"/>
      <c r="E66" s="129"/>
      <c r="F66" s="129" t="s">
        <v>777</v>
      </c>
      <c r="G66" s="130" t="str">
        <f>VLOOKUP(A66,'Main Data File'!$C$4:$U$146,17,FALSE)</f>
        <v>P-034C</v>
      </c>
      <c r="H66" s="129"/>
      <c r="I66" s="12" t="str">
        <f>VLOOKUP(A66,'Main Data File'!$C$4:$U$146,2,FALSE)</f>
        <v>CP Spout for Kitchen Faucet</v>
      </c>
      <c r="J66" s="12" t="str">
        <f>VLOOKUP(A66,'Main Data File'!$C$4:$U$146,18,FALSE)</f>
        <v>Modify USH instructions</v>
      </c>
      <c r="K66" s="129" t="s">
        <v>71</v>
      </c>
      <c r="L66" s="129"/>
      <c r="M66" s="129"/>
      <c r="N66" s="129"/>
      <c r="O66" s="129">
        <f>VLOOKUP(A66,'Main Data File'!$C$4:$U$146,3,FALSE)</f>
        <v>13.75</v>
      </c>
      <c r="P66" s="129">
        <f>VLOOKUP(A66,'Main Data File'!$C$4:$U$146,5,FALSE)</f>
        <v>1.5</v>
      </c>
      <c r="Q66" s="129">
        <f>VLOOKUP(A66,'Main Data File'!$C$4:$U$146,4,FALSE)</f>
        <v>3.625</v>
      </c>
      <c r="R66" s="129">
        <f>VLOOKUP(A66,'Main Data File'!$C$4:$U$146,6,FALSE)</f>
        <v>0.4</v>
      </c>
      <c r="S66" s="131">
        <f>VLOOKUP(A66,'Main Data File'!$C$4:$U$146,7,FALSE)</f>
        <v>4.3267144097222224E-2</v>
      </c>
      <c r="T66" s="129" t="str">
        <f>VLOOKUP(A66,'Main Data File'!$C$4:$U$146,8,FALSE)</f>
        <v>Heat Formed Plastic</v>
      </c>
      <c r="U66" s="129"/>
      <c r="V66" s="129"/>
      <c r="W66" s="129"/>
      <c r="X66" s="129"/>
      <c r="Y66" s="129"/>
      <c r="Z66" s="129"/>
      <c r="AA66" s="129"/>
      <c r="AB66" s="129"/>
      <c r="AC66" s="129"/>
      <c r="AD66" s="129"/>
      <c r="AE66" s="129"/>
      <c r="AF66" s="129"/>
      <c r="AG66" s="129"/>
      <c r="AH66" s="129"/>
      <c r="AI66" s="129"/>
      <c r="AJ66" s="129"/>
      <c r="AK66" s="129"/>
      <c r="AL66" s="129"/>
      <c r="AM66" s="129"/>
      <c r="AN66" s="129"/>
      <c r="AO66" s="129"/>
      <c r="AP66" s="10"/>
      <c r="AQ66" s="132">
        <f>VLOOKUP(A66,'Main Data File'!$C$4:$U$146,10,FALSE)</f>
        <v>340.00000000000006</v>
      </c>
      <c r="AR66" s="133" t="e">
        <f>VLOOKUP(A66,#REF!,44,FALSE)</f>
        <v>#REF!</v>
      </c>
      <c r="AS66" s="133" t="e">
        <f>VLOOKUP(A66,#REF!,24,FALSE)</f>
        <v>#REF!</v>
      </c>
      <c r="AT66" s="129"/>
      <c r="AU66" s="134" t="e">
        <f t="shared" si="0"/>
        <v>#REF!</v>
      </c>
      <c r="AV66" s="139"/>
      <c r="AW66" s="133" t="e">
        <f>VLOOKUP(A66,#REF!,25,FALSE)</f>
        <v>#REF!</v>
      </c>
      <c r="AX66" s="133" t="str">
        <f>VLOOKUP(A66,'Lowe''s final SKU list'!$C$2:$Q$99,2,FALSE)</f>
        <v>YES</v>
      </c>
      <c r="AY66" s="135" t="str">
        <f>VLOOKUP(A66,'Main Data File'!$C$4:$U$146,16,FALSE)</f>
        <v>x</v>
      </c>
      <c r="AZ66" s="135">
        <f>VLOOKUP(A66,'Main Data File'!$C$4:$U$146,13,FALSE)</f>
        <v>0</v>
      </c>
      <c r="BA66" s="135">
        <f>VLOOKUP(A66,'Main Data File'!$C$4:$U$146,14,FALSE)</f>
        <v>0</v>
      </c>
      <c r="BB66" s="135">
        <f>VLOOKUP(A66,'Main Data File'!$C$4:$U$146,15,FALSE)</f>
        <v>0</v>
      </c>
    </row>
    <row r="67" spans="1:54" ht="54" customHeight="1">
      <c r="A67" s="16" t="s">
        <v>138</v>
      </c>
      <c r="B67" s="16" t="str">
        <f>VLOOKUP(A67,'Main Data File'!$C$4:$U$146,19,FALSE)</f>
        <v>Andy</v>
      </c>
      <c r="C67" s="16" t="s">
        <v>75</v>
      </c>
      <c r="D67" s="16" t="s">
        <v>76</v>
      </c>
      <c r="E67" s="129"/>
      <c r="F67" s="129" t="s">
        <v>778</v>
      </c>
      <c r="G67" s="130" t="str">
        <f>VLOOKUP(A67,'Main Data File'!$C$4:$U$146,17,FALSE)</f>
        <v>P-102C</v>
      </c>
      <c r="H67" s="129"/>
      <c r="I67" s="12" t="str">
        <f>VLOOKUP(A67,'Main Data File'!$C$4:$U$146,2,FALSE)</f>
        <v>Push/Pull Drain Assembly CP</v>
      </c>
      <c r="J67" s="169" t="str">
        <f>VLOOKUP(A67,'Main Data File'!$C$4:$U$146,18,FALSE)</f>
        <v>Done.  Item is in Menards.</v>
      </c>
      <c r="K67" s="129" t="s">
        <v>71</v>
      </c>
      <c r="L67" s="129"/>
      <c r="M67" s="129"/>
      <c r="N67" s="129"/>
      <c r="O67" s="129">
        <f>VLOOKUP(A67,'Main Data File'!$C$4:$U$146,3,FALSE)</f>
        <v>10.25</v>
      </c>
      <c r="P67" s="129">
        <f>VLOOKUP(A67,'Main Data File'!$C$4:$U$146,5,FALSE)</f>
        <v>2.25</v>
      </c>
      <c r="Q67" s="129">
        <f>VLOOKUP(A67,'Main Data File'!$C$4:$U$146,4,FALSE)</f>
        <v>3.65</v>
      </c>
      <c r="R67" s="129">
        <f>VLOOKUP(A67,'Main Data File'!$C$4:$U$146,6,FALSE)</f>
        <v>0.33</v>
      </c>
      <c r="S67" s="131">
        <f>VLOOKUP(A67,'Main Data File'!$C$4:$U$146,7,FALSE)</f>
        <v>4.871419270833334E-2</v>
      </c>
      <c r="T67" s="129" t="str">
        <f>VLOOKUP(A67,'Main Data File'!$C$4:$U$146,8,FALSE)</f>
        <v>Heat Formed Plastic</v>
      </c>
      <c r="U67" s="129"/>
      <c r="V67" s="129"/>
      <c r="W67" s="129"/>
      <c r="X67" s="129"/>
      <c r="Y67" s="129"/>
      <c r="Z67" s="129"/>
      <c r="AA67" s="129"/>
      <c r="AB67" s="129"/>
      <c r="AC67" s="129"/>
      <c r="AD67" s="129"/>
      <c r="AE67" s="129"/>
      <c r="AF67" s="129"/>
      <c r="AG67" s="129"/>
      <c r="AH67" s="129"/>
      <c r="AI67" s="129"/>
      <c r="AJ67" s="129"/>
      <c r="AK67" s="129"/>
      <c r="AL67" s="129"/>
      <c r="AM67" s="129"/>
      <c r="AN67" s="129"/>
      <c r="AO67" s="129"/>
      <c r="AP67" s="10"/>
      <c r="AQ67" s="132">
        <f>VLOOKUP(A67,'Main Data File'!$C$4:$U$146,10,FALSE)</f>
        <v>18865</v>
      </c>
      <c r="AR67" s="133" t="e">
        <f>VLOOKUP(A67,#REF!,44,FALSE)</f>
        <v>#REF!</v>
      </c>
      <c r="AS67" s="133" t="e">
        <f>VLOOKUP(A67,#REF!,24,FALSE)</f>
        <v>#REF!</v>
      </c>
      <c r="AT67" s="129"/>
      <c r="AU67" s="134" t="e">
        <f t="shared" si="0"/>
        <v>#REF!</v>
      </c>
      <c r="AV67" s="139"/>
      <c r="AW67" s="133" t="e">
        <f>VLOOKUP(A67,#REF!,25,FALSE)</f>
        <v>#REF!</v>
      </c>
      <c r="AX67" s="133" t="str">
        <f>VLOOKUP(A67,'Lowe''s final SKU list'!$C$2:$Q$99,2,FALSE)</f>
        <v>YES</v>
      </c>
      <c r="AY67" s="135" t="str">
        <f>VLOOKUP(A67,'Main Data File'!$C$4:$U$146,16,FALSE)</f>
        <v>x</v>
      </c>
      <c r="AZ67" s="135" t="str">
        <f>VLOOKUP(A67,'Main Data File'!$C$4:$U$146,13,FALSE)</f>
        <v>x</v>
      </c>
      <c r="BA67" s="135" t="str">
        <f>VLOOKUP(A67,'Main Data File'!$C$4:$U$146,14,FALSE)</f>
        <v>x</v>
      </c>
      <c r="BB67" s="135" t="str">
        <f>VLOOKUP(A67,'Main Data File'!$C$4:$U$146,15,FALSE)</f>
        <v>x</v>
      </c>
    </row>
    <row r="68" spans="1:54" ht="54" customHeight="1">
      <c r="A68" s="16" t="s">
        <v>139</v>
      </c>
      <c r="B68" s="16" t="str">
        <f>VLOOKUP(A68,'Main Data File'!$C$4:$U$146,19,FALSE)</f>
        <v>Andy</v>
      </c>
      <c r="C68" s="16"/>
      <c r="D68" s="16"/>
      <c r="E68" s="129"/>
      <c r="F68" s="129" t="s">
        <v>779</v>
      </c>
      <c r="G68" s="130" t="str">
        <f>VLOOKUP(A68,'Main Data File'!$C$4:$U$146,17,FALSE)</f>
        <v>P-040C</v>
      </c>
      <c r="H68" s="129"/>
      <c r="I68" s="12" t="str">
        <f>VLOOKUP(A68,'Main Data File'!$C$4:$U$146,2,FALSE)</f>
        <v>Shower Arm With Escutcheon</v>
      </c>
      <c r="J68" s="12" t="str">
        <f>VLOOKUP(A68,'Main Data File'!$C$4:$U$146,18,FALSE)</f>
        <v>Modify USH instructions</v>
      </c>
      <c r="K68" s="129" t="s">
        <v>71</v>
      </c>
      <c r="L68" s="129"/>
      <c r="M68" s="129"/>
      <c r="N68" s="129"/>
      <c r="O68" s="129">
        <f>VLOOKUP(A68,'Main Data File'!$C$4:$U$146,3,FALSE)</f>
        <v>7.375</v>
      </c>
      <c r="P68" s="129">
        <f>VLOOKUP(A68,'Main Data File'!$C$4:$U$146,5,FALSE)</f>
        <v>1</v>
      </c>
      <c r="Q68" s="129">
        <f>VLOOKUP(A68,'Main Data File'!$C$4:$U$146,4,FALSE)</f>
        <v>4.875</v>
      </c>
      <c r="R68" s="129">
        <f>VLOOKUP(A68,'Main Data File'!$C$4:$U$146,6,FALSE)</f>
        <v>0.21</v>
      </c>
      <c r="S68" s="131">
        <f>VLOOKUP(A68,'Main Data File'!$C$4:$U$146,7,FALSE)</f>
        <v>2.0806206597222224E-2</v>
      </c>
      <c r="T68" s="129" t="str">
        <f>VLOOKUP(A68,'Main Data File'!$C$4:$U$146,8,FALSE)</f>
        <v>Heat Formed Plastic</v>
      </c>
      <c r="U68" s="129"/>
      <c r="V68" s="129"/>
      <c r="W68" s="129"/>
      <c r="X68" s="129"/>
      <c r="Y68" s="129"/>
      <c r="Z68" s="129"/>
      <c r="AA68" s="129"/>
      <c r="AB68" s="129"/>
      <c r="AC68" s="129"/>
      <c r="AD68" s="129"/>
      <c r="AE68" s="129"/>
      <c r="AF68" s="129"/>
      <c r="AG68" s="129"/>
      <c r="AH68" s="129"/>
      <c r="AI68" s="129"/>
      <c r="AJ68" s="129"/>
      <c r="AK68" s="129"/>
      <c r="AL68" s="129"/>
      <c r="AM68" s="129"/>
      <c r="AN68" s="129"/>
      <c r="AO68" s="129"/>
      <c r="AP68" s="10"/>
      <c r="AQ68" s="132">
        <f>VLOOKUP(A68,'Main Data File'!$C$4:$U$146,10,FALSE)</f>
        <v>15990</v>
      </c>
      <c r="AR68" s="133" t="e">
        <f>VLOOKUP(A68,#REF!,44,FALSE)</f>
        <v>#REF!</v>
      </c>
      <c r="AS68" s="133" t="e">
        <f>VLOOKUP(A68,#REF!,24,FALSE)</f>
        <v>#REF!</v>
      </c>
      <c r="AT68" s="129"/>
      <c r="AU68" s="134" t="e">
        <f t="shared" ref="AU68:AU131" si="1">(AR68-AS68)/AR68</f>
        <v>#REF!</v>
      </c>
      <c r="AV68" s="139"/>
      <c r="AW68" s="133" t="e">
        <f>VLOOKUP(A68,#REF!,25,FALSE)</f>
        <v>#REF!</v>
      </c>
      <c r="AX68" s="133" t="str">
        <f>VLOOKUP(A68,'Lowe''s final SKU list'!$C$2:$Q$99,2,FALSE)</f>
        <v>YES</v>
      </c>
      <c r="AY68" s="135" t="str">
        <f>VLOOKUP(A68,'Main Data File'!$C$4:$U$146,16,FALSE)</f>
        <v>x</v>
      </c>
      <c r="AZ68" s="135" t="str">
        <f>VLOOKUP(A68,'Main Data File'!$C$4:$U$146,13,FALSE)</f>
        <v>x</v>
      </c>
      <c r="BA68" s="135">
        <f>VLOOKUP(A68,'Main Data File'!$C$4:$U$146,14,FALSE)</f>
        <v>0</v>
      </c>
      <c r="BB68" s="135" t="str">
        <f>VLOOKUP(A68,'Main Data File'!$C$4:$U$146,15,FALSE)</f>
        <v>x</v>
      </c>
    </row>
    <row r="69" spans="1:54" ht="54" hidden="1" customHeight="1">
      <c r="A69" s="16" t="s">
        <v>365</v>
      </c>
      <c r="B69" s="16" t="str">
        <f>VLOOKUP(A69,'Main Data File'!$C$4:$U$146,19,FALSE)</f>
        <v>Andy</v>
      </c>
      <c r="C69" s="16"/>
      <c r="D69" s="16"/>
      <c r="E69" s="129"/>
      <c r="F69" s="129" t="s">
        <v>780</v>
      </c>
      <c r="G69" s="130" t="str">
        <f>VLOOKUP(A69,'Main Data File'!$C$4:$U$146,17,FALSE)</f>
        <v>V-001B</v>
      </c>
      <c r="H69" s="129"/>
      <c r="I69" s="12" t="str">
        <f>VLOOKUP(A69,'Main Data File'!$C$4:$U$146,2,FALSE)</f>
        <v>Exhaust Fan Motor</v>
      </c>
      <c r="J69" s="12" t="str">
        <f>VLOOKUP(A69,'Main Data File'!$C$4:$U$146,18,FALSE)</f>
        <v>Modify USH instructions</v>
      </c>
      <c r="K69" s="129" t="s">
        <v>71</v>
      </c>
      <c r="L69" s="129"/>
      <c r="M69" s="129"/>
      <c r="N69" s="129"/>
      <c r="O69" s="129">
        <f>VLOOKUP(A69,'Main Data File'!$C$4:$U$146,3,FALSE)</f>
        <v>6.5</v>
      </c>
      <c r="P69" s="129">
        <f>VLOOKUP(A69,'Main Data File'!$C$4:$U$146,5,FALSE)</f>
        <v>2.25</v>
      </c>
      <c r="Q69" s="129">
        <f>VLOOKUP(A69,'Main Data File'!$C$4:$U$146,4,FALSE)</f>
        <v>2.875</v>
      </c>
      <c r="R69" s="129">
        <f>VLOOKUP(A69,'Main Data File'!$C$4:$U$146,6,FALSE)</f>
        <v>1.25</v>
      </c>
      <c r="S69" s="131">
        <f>VLOOKUP(A69,'Main Data File'!$C$4:$U$146,7,FALSE)</f>
        <v>2.4332682291666668E-2</v>
      </c>
      <c r="T69" s="129" t="str">
        <f>VLOOKUP(A69,'Main Data File'!$C$4:$U$146,8,FALSE)</f>
        <v>Heat Formed Plastic</v>
      </c>
      <c r="U69" s="129"/>
      <c r="V69" s="129"/>
      <c r="W69" s="129"/>
      <c r="X69" s="129"/>
      <c r="Y69" s="129"/>
      <c r="Z69" s="129"/>
      <c r="AA69" s="129"/>
      <c r="AB69" s="129"/>
      <c r="AC69" s="129"/>
      <c r="AD69" s="129"/>
      <c r="AE69" s="129"/>
      <c r="AF69" s="129"/>
      <c r="AG69" s="129"/>
      <c r="AH69" s="129"/>
      <c r="AI69" s="129"/>
      <c r="AJ69" s="129"/>
      <c r="AK69" s="129"/>
      <c r="AL69" s="129"/>
      <c r="AM69" s="129"/>
      <c r="AN69" s="129"/>
      <c r="AO69" s="129"/>
      <c r="AP69" s="10"/>
      <c r="AQ69" s="132">
        <f>VLOOKUP(A69,'Main Data File'!$C$4:$U$146,10,FALSE)</f>
        <v>9018</v>
      </c>
      <c r="AR69" s="133" t="e">
        <f>VLOOKUP(A69,#REF!,44,FALSE)</f>
        <v>#REF!</v>
      </c>
      <c r="AS69" s="133" t="e">
        <f>VLOOKUP(A69,#REF!,24,FALSE)</f>
        <v>#REF!</v>
      </c>
      <c r="AT69" s="129"/>
      <c r="AU69" s="134" t="e">
        <f t="shared" si="1"/>
        <v>#REF!</v>
      </c>
      <c r="AV69" s="139"/>
      <c r="AW69" s="133" t="e">
        <f>VLOOKUP(A69,#REF!,25,FALSE)</f>
        <v>#REF!</v>
      </c>
      <c r="AX69" s="133" t="e">
        <f>VLOOKUP(A69,'Lowe''s final SKU list'!$C$2:$Q$99,2,FALSE)</f>
        <v>#N/A</v>
      </c>
      <c r="AY69" s="135">
        <f>VLOOKUP(A69,'Main Data File'!$C$4:$U$146,16,FALSE)</f>
        <v>0</v>
      </c>
      <c r="AZ69" s="135">
        <f>VLOOKUP(A69,'Main Data File'!$C$4:$U$146,13,FALSE)</f>
        <v>0</v>
      </c>
      <c r="BA69" s="135">
        <f>VLOOKUP(A69,'Main Data File'!$C$4:$U$146,14,FALSE)</f>
        <v>0</v>
      </c>
      <c r="BB69" s="135">
        <f>VLOOKUP(A69,'Main Data File'!$C$4:$U$146,15,FALSE)</f>
        <v>0</v>
      </c>
    </row>
    <row r="70" spans="1:54" ht="54" customHeight="1">
      <c r="A70" s="16" t="s">
        <v>140</v>
      </c>
      <c r="B70" s="16" t="str">
        <f>VLOOKUP(A70,'Main Data File'!$C$4:$U$146,19,FALSE)</f>
        <v>Andy</v>
      </c>
      <c r="C70" s="16"/>
      <c r="D70" s="16"/>
      <c r="E70" s="129"/>
      <c r="F70" s="129" t="s">
        <v>781</v>
      </c>
      <c r="G70" s="130" t="str">
        <f>VLOOKUP(A70,'Main Data File'!$C$4:$U$146,17,FALSE)</f>
        <v>RV-508B</v>
      </c>
      <c r="H70" s="129"/>
      <c r="I70" s="12" t="str">
        <f>VLOOKUP(A70,'Main Data File'!$C$4:$U$146,2,FALSE)</f>
        <v>Black RV Waste Cap</v>
      </c>
      <c r="J70" s="12" t="str">
        <f>VLOOKUP(A70,'Main Data File'!$C$4:$U$146,18,FALSE)</f>
        <v>Modify USH instructions</v>
      </c>
      <c r="K70" s="129" t="s">
        <v>71</v>
      </c>
      <c r="L70" s="129"/>
      <c r="M70" s="129"/>
      <c r="N70" s="129"/>
      <c r="O70" s="129">
        <f>VLOOKUP(A70,'Main Data File'!$C$4:$U$146,3,FALSE)</f>
        <v>7.375</v>
      </c>
      <c r="P70" s="129">
        <f>VLOOKUP(A70,'Main Data File'!$C$4:$U$146,5,FALSE)</f>
        <v>4</v>
      </c>
      <c r="Q70" s="129">
        <f>VLOOKUP(A70,'Main Data File'!$C$4:$U$146,4,FALSE)</f>
        <v>4.875</v>
      </c>
      <c r="R70" s="129">
        <f>VLOOKUP(A70,'Main Data File'!$C$4:$U$146,6,FALSE)</f>
        <v>0.28000000000000003</v>
      </c>
      <c r="S70" s="131">
        <f>VLOOKUP(A70,'Main Data File'!$C$4:$U$146,7,FALSE)</f>
        <v>8.3224826388888895E-2</v>
      </c>
      <c r="T70" s="129" t="str">
        <f>VLOOKUP(A70,'Main Data File'!$C$4:$U$146,8,FALSE)</f>
        <v>Heat Formed Plastic</v>
      </c>
      <c r="U70" s="129"/>
      <c r="V70" s="129"/>
      <c r="W70" s="129"/>
      <c r="X70" s="129"/>
      <c r="Y70" s="129"/>
      <c r="Z70" s="129"/>
      <c r="AA70" s="129"/>
      <c r="AB70" s="129"/>
      <c r="AC70" s="129"/>
      <c r="AD70" s="129"/>
      <c r="AE70" s="129"/>
      <c r="AF70" s="129"/>
      <c r="AG70" s="129"/>
      <c r="AH70" s="129"/>
      <c r="AI70" s="129"/>
      <c r="AJ70" s="129"/>
      <c r="AK70" s="129"/>
      <c r="AL70" s="129"/>
      <c r="AM70" s="129"/>
      <c r="AN70" s="129"/>
      <c r="AO70" s="129"/>
      <c r="AP70" s="10"/>
      <c r="AQ70" s="132">
        <f>VLOOKUP(A70,'Main Data File'!$C$4:$U$146,10,FALSE)</f>
        <v>12792</v>
      </c>
      <c r="AR70" s="133" t="e">
        <f>VLOOKUP(A70,#REF!,44,FALSE)</f>
        <v>#REF!</v>
      </c>
      <c r="AS70" s="133" t="e">
        <f>VLOOKUP(A70,#REF!,24,FALSE)</f>
        <v>#REF!</v>
      </c>
      <c r="AT70" s="129"/>
      <c r="AU70" s="134" t="e">
        <f t="shared" si="1"/>
        <v>#REF!</v>
      </c>
      <c r="AV70" s="139"/>
      <c r="AW70" s="133" t="e">
        <f>VLOOKUP(A70,#REF!,25,FALSE)</f>
        <v>#REF!</v>
      </c>
      <c r="AX70" s="133" t="str">
        <f>VLOOKUP(A70,'Lowe''s final SKU list'!$C$2:$Q$99,2,FALSE)</f>
        <v>YES</v>
      </c>
      <c r="AY70" s="135" t="str">
        <f>VLOOKUP(A70,'Main Data File'!$C$4:$U$146,16,FALSE)</f>
        <v>x</v>
      </c>
      <c r="AZ70" s="135" t="str">
        <f>VLOOKUP(A70,'Main Data File'!$C$4:$U$146,13,FALSE)</f>
        <v>x</v>
      </c>
      <c r="BA70" s="135">
        <f>VLOOKUP(A70,'Main Data File'!$C$4:$U$146,14,FALSE)</f>
        <v>0</v>
      </c>
      <c r="BB70" s="135" t="str">
        <f>VLOOKUP(A70,'Main Data File'!$C$4:$U$146,15,FALSE)</f>
        <v>x</v>
      </c>
    </row>
    <row r="71" spans="1:54" ht="54" customHeight="1">
      <c r="A71" s="16" t="s">
        <v>141</v>
      </c>
      <c r="B71" s="16" t="str">
        <f>VLOOKUP(A71,'Main Data File'!$C$4:$U$146,19,FALSE)</f>
        <v>Andy</v>
      </c>
      <c r="C71" s="16"/>
      <c r="D71" s="16"/>
      <c r="E71" s="129"/>
      <c r="F71" s="129" t="s">
        <v>782</v>
      </c>
      <c r="G71" s="130" t="str">
        <f>VLOOKUP(A71,'Main Data File'!$C$4:$U$146,17,FALSE)</f>
        <v>P-597C</v>
      </c>
      <c r="H71" s="129"/>
      <c r="I71" s="12" t="str">
        <f>VLOOKUP(A71,'Main Data File'!$C$4:$U$146,2,FALSE)</f>
        <v>Plastic Shower Valve Flange</v>
      </c>
      <c r="J71" s="12" t="str">
        <f>VLOOKUP(A71,'Main Data File'!$C$4:$U$146,18,FALSE)</f>
        <v>Modify USH instructions</v>
      </c>
      <c r="K71" s="129" t="s">
        <v>71</v>
      </c>
      <c r="L71" s="129"/>
      <c r="M71" s="129"/>
      <c r="N71" s="129"/>
      <c r="O71" s="129">
        <f>VLOOKUP(A71,'Main Data File'!$C$4:$U$146,3,FALSE)</f>
        <v>5.7</v>
      </c>
      <c r="P71" s="129">
        <f>VLOOKUP(A71,'Main Data File'!$C$4:$U$146,5,FALSE)</f>
        <v>3.75</v>
      </c>
      <c r="Q71" s="129">
        <f>VLOOKUP(A71,'Main Data File'!$C$4:$U$146,4,FALSE)</f>
        <v>3.65</v>
      </c>
      <c r="R71" s="129">
        <f>VLOOKUP(A71,'Main Data File'!$C$4:$U$146,6,FALSE)</f>
        <v>0.15</v>
      </c>
      <c r="S71" s="131">
        <f>VLOOKUP(A71,'Main Data File'!$C$4:$U$146,7,FALSE)</f>
        <v>4.5149739583333334E-2</v>
      </c>
      <c r="T71" s="129" t="str">
        <f>VLOOKUP(A71,'Main Data File'!$C$4:$U$146,8,FALSE)</f>
        <v>Heat Formed Plastic</v>
      </c>
      <c r="U71" s="129"/>
      <c r="V71" s="129"/>
      <c r="W71" s="129"/>
      <c r="X71" s="129"/>
      <c r="Y71" s="129"/>
      <c r="Z71" s="129"/>
      <c r="AA71" s="129"/>
      <c r="AB71" s="129"/>
      <c r="AC71" s="129"/>
      <c r="AD71" s="129"/>
      <c r="AE71" s="129"/>
      <c r="AF71" s="129"/>
      <c r="AG71" s="129"/>
      <c r="AH71" s="129"/>
      <c r="AI71" s="129"/>
      <c r="AJ71" s="129"/>
      <c r="AK71" s="129"/>
      <c r="AL71" s="129"/>
      <c r="AM71" s="129"/>
      <c r="AN71" s="129"/>
      <c r="AO71" s="129"/>
      <c r="AP71" s="10"/>
      <c r="AQ71" s="132">
        <f>VLOOKUP(A71,'Main Data File'!$C$4:$U$146,10,FALSE)</f>
        <v>408</v>
      </c>
      <c r="AR71" s="133" t="e">
        <f>VLOOKUP(A71,#REF!,44,FALSE)</f>
        <v>#REF!</v>
      </c>
      <c r="AS71" s="133" t="e">
        <f>VLOOKUP(A71,#REF!,24,FALSE)</f>
        <v>#REF!</v>
      </c>
      <c r="AT71" s="129"/>
      <c r="AU71" s="134" t="e">
        <f t="shared" si="1"/>
        <v>#REF!</v>
      </c>
      <c r="AV71" s="139"/>
      <c r="AW71" s="133" t="e">
        <f>VLOOKUP(A71,#REF!,25,FALSE)</f>
        <v>#REF!</v>
      </c>
      <c r="AX71" s="133" t="str">
        <f>VLOOKUP(A71,'Lowe''s final SKU list'!$C$2:$Q$99,2,FALSE)</f>
        <v>YES</v>
      </c>
      <c r="AY71" s="135" t="str">
        <f>VLOOKUP(A71,'Main Data File'!$C$4:$U$146,16,FALSE)</f>
        <v>x</v>
      </c>
      <c r="AZ71" s="135">
        <f>VLOOKUP(A71,'Main Data File'!$C$4:$U$146,13,FALSE)</f>
        <v>0</v>
      </c>
      <c r="BA71" s="135">
        <f>VLOOKUP(A71,'Main Data File'!$C$4:$U$146,14,FALSE)</f>
        <v>0</v>
      </c>
      <c r="BB71" s="135">
        <f>VLOOKUP(A71,'Main Data File'!$C$4:$U$146,15,FALSE)</f>
        <v>0</v>
      </c>
    </row>
    <row r="72" spans="1:54" ht="54" customHeight="1">
      <c r="A72" s="16" t="s">
        <v>142</v>
      </c>
      <c r="B72" s="16" t="str">
        <f>VLOOKUP(A72,'Main Data File'!$C$4:$U$146,19,FALSE)</f>
        <v>Andy</v>
      </c>
      <c r="C72" s="16"/>
      <c r="D72" s="16"/>
      <c r="E72" s="129"/>
      <c r="F72" s="129" t="s">
        <v>783</v>
      </c>
      <c r="G72" s="130" t="str">
        <f>VLOOKUP(A72,'Main Data File'!$C$4:$U$146,17,FALSE)</f>
        <v>P-608C</v>
      </c>
      <c r="H72" s="129"/>
      <c r="I72" s="12" t="str">
        <f>VLOOKUP(A72,'Main Data File'!$C$4:$U$146,2,FALSE)</f>
        <v>Kitchen Basket Strainer Insert</v>
      </c>
      <c r="J72" s="12" t="str">
        <f>VLOOKUP(A72,'Main Data File'!$C$4:$U$146,18,FALSE)</f>
        <v>Modify USH instructions</v>
      </c>
      <c r="K72" s="129" t="s">
        <v>71</v>
      </c>
      <c r="L72" s="129"/>
      <c r="M72" s="129"/>
      <c r="N72" s="129"/>
      <c r="O72" s="129">
        <f>VLOOKUP(A72,'Main Data File'!$C$4:$U$146,3,FALSE)</f>
        <v>5.7</v>
      </c>
      <c r="P72" s="129">
        <f>VLOOKUP(A72,'Main Data File'!$C$4:$U$146,5,FALSE)</f>
        <v>3.5</v>
      </c>
      <c r="Q72" s="129">
        <f>VLOOKUP(A72,'Main Data File'!$C$4:$U$146,4,FALSE)</f>
        <v>3.65</v>
      </c>
      <c r="R72" s="129">
        <f>VLOOKUP(A72,'Main Data File'!$C$4:$U$146,6,FALSE)</f>
        <v>0.17</v>
      </c>
      <c r="S72" s="131">
        <f>VLOOKUP(A72,'Main Data File'!$C$4:$U$146,7,FALSE)</f>
        <v>4.213975694444444E-2</v>
      </c>
      <c r="T72" s="129" t="str">
        <f>VLOOKUP(A72,'Main Data File'!$C$4:$U$146,8,FALSE)</f>
        <v>Heat Formed Plastic</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0"/>
      <c r="AQ72" s="132">
        <f>VLOOKUP(A72,'Main Data File'!$C$4:$U$146,10,FALSE)</f>
        <v>19188</v>
      </c>
      <c r="AR72" s="133" t="e">
        <f>VLOOKUP(A72,#REF!,44,FALSE)</f>
        <v>#REF!</v>
      </c>
      <c r="AS72" s="133" t="e">
        <f>VLOOKUP(A72,#REF!,24,FALSE)</f>
        <v>#REF!</v>
      </c>
      <c r="AT72" s="129"/>
      <c r="AU72" s="134" t="e">
        <f t="shared" si="1"/>
        <v>#REF!</v>
      </c>
      <c r="AV72" s="139"/>
      <c r="AW72" s="133" t="e">
        <f>VLOOKUP(A72,#REF!,25,FALSE)</f>
        <v>#REF!</v>
      </c>
      <c r="AX72" s="133" t="str">
        <f>VLOOKUP(A72,'Lowe''s final SKU list'!$C$2:$Q$99,2,FALSE)</f>
        <v>YES</v>
      </c>
      <c r="AY72" s="135" t="str">
        <f>VLOOKUP(A72,'Main Data File'!$C$4:$U$146,16,FALSE)</f>
        <v>x</v>
      </c>
      <c r="AZ72" s="135" t="str">
        <f>VLOOKUP(A72,'Main Data File'!$C$4:$U$146,13,FALSE)</f>
        <v>x</v>
      </c>
      <c r="BA72" s="135">
        <f>VLOOKUP(A72,'Main Data File'!$C$4:$U$146,14,FALSE)</f>
        <v>0</v>
      </c>
      <c r="BB72" s="135" t="str">
        <f>VLOOKUP(A72,'Main Data File'!$C$4:$U$146,15,FALSE)</f>
        <v>x</v>
      </c>
    </row>
    <row r="73" spans="1:54" ht="54" customHeight="1">
      <c r="A73" s="16" t="s">
        <v>143</v>
      </c>
      <c r="B73" s="16" t="str">
        <f>VLOOKUP(A73,'Main Data File'!$C$4:$U$146,19,FALSE)</f>
        <v>Andy</v>
      </c>
      <c r="C73" s="16" t="s">
        <v>75</v>
      </c>
      <c r="D73" s="16" t="s">
        <v>76</v>
      </c>
      <c r="E73" s="129"/>
      <c r="F73" s="129" t="s">
        <v>784</v>
      </c>
      <c r="G73" s="130" t="str">
        <f>VLOOKUP(A73,'Main Data File'!$C$4:$U$146,17,FALSE)</f>
        <v>P-097C</v>
      </c>
      <c r="H73" s="129"/>
      <c r="I73" s="12" t="str">
        <f>VLOOKUP(A73,'Main Data File'!$C$4:$U$146,2,FALSE)</f>
        <v>1-1/2" ABS Sink Trap</v>
      </c>
      <c r="J73" s="169" t="str">
        <f>VLOOKUP(A73,'Main Data File'!$C$4:$U$146,18,FALSE)</f>
        <v>Done.  Item is in Menards.</v>
      </c>
      <c r="K73" s="129" t="s">
        <v>71</v>
      </c>
      <c r="L73" s="129"/>
      <c r="M73" s="129"/>
      <c r="N73" s="129"/>
      <c r="O73" s="129">
        <f>VLOOKUP(A73,'Main Data File'!$C$4:$U$146,3,FALSE)</f>
        <v>8.5</v>
      </c>
      <c r="P73" s="129">
        <f>VLOOKUP(A73,'Main Data File'!$C$4:$U$146,5,FALSE)</f>
        <v>2.5</v>
      </c>
      <c r="Q73" s="129">
        <f>VLOOKUP(A73,'Main Data File'!$C$4:$U$146,4,FALSE)</f>
        <v>8.5</v>
      </c>
      <c r="R73" s="129">
        <f>VLOOKUP(A73,'Main Data File'!$C$4:$U$146,6,FALSE)</f>
        <v>0.53</v>
      </c>
      <c r="S73" s="131">
        <f>VLOOKUP(A73,'Main Data File'!$C$4:$U$146,7,FALSE)</f>
        <v>0.10452835648148148</v>
      </c>
      <c r="T73" s="129" t="str">
        <f>VLOOKUP(A73,'Main Data File'!$C$4:$U$146,8,FALSE)</f>
        <v>Heat Formed Plastic</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0"/>
      <c r="AQ73" s="132">
        <f>VLOOKUP(A73,'Main Data File'!$C$4:$U$146,10,FALSE)</f>
        <v>15990</v>
      </c>
      <c r="AR73" s="133" t="e">
        <f>VLOOKUP(A73,#REF!,44,FALSE)</f>
        <v>#REF!</v>
      </c>
      <c r="AS73" s="133" t="e">
        <f>VLOOKUP(A73,#REF!,24,FALSE)</f>
        <v>#REF!</v>
      </c>
      <c r="AT73" s="129"/>
      <c r="AU73" s="134" t="e">
        <f t="shared" si="1"/>
        <v>#REF!</v>
      </c>
      <c r="AV73" s="139"/>
      <c r="AW73" s="133" t="e">
        <f>VLOOKUP(A73,#REF!,25,FALSE)</f>
        <v>#REF!</v>
      </c>
      <c r="AX73" s="133" t="str">
        <f>VLOOKUP(A73,'Lowe''s final SKU list'!$C$2:$Q$99,2,FALSE)</f>
        <v>YES</v>
      </c>
      <c r="AY73" s="135" t="str">
        <f>VLOOKUP(A73,'Main Data File'!$C$4:$U$146,16,FALSE)</f>
        <v>x</v>
      </c>
      <c r="AZ73" s="135" t="str">
        <f>VLOOKUP(A73,'Main Data File'!$C$4:$U$146,13,FALSE)</f>
        <v>x</v>
      </c>
      <c r="BA73" s="135">
        <f>VLOOKUP(A73,'Main Data File'!$C$4:$U$146,14,FALSE)</f>
        <v>0</v>
      </c>
      <c r="BB73" s="135" t="str">
        <f>VLOOKUP(A73,'Main Data File'!$C$4:$U$146,15,FALSE)</f>
        <v>x</v>
      </c>
    </row>
    <row r="74" spans="1:54" ht="54" customHeight="1">
      <c r="A74" s="16" t="s">
        <v>144</v>
      </c>
      <c r="B74" s="16" t="str">
        <f>VLOOKUP(A74,'Main Data File'!$C$4:$U$146,19,FALSE)</f>
        <v>Andy</v>
      </c>
      <c r="C74" s="16" t="s">
        <v>75</v>
      </c>
      <c r="D74" s="16" t="s">
        <v>76</v>
      </c>
      <c r="E74" s="129"/>
      <c r="F74" s="129" t="s">
        <v>785</v>
      </c>
      <c r="G74" s="130" t="str">
        <f>VLOOKUP(A74,'Main Data File'!$C$4:$U$146,17,FALSE)</f>
        <v>P-098C</v>
      </c>
      <c r="H74" s="129"/>
      <c r="I74" s="12" t="str">
        <f>VLOOKUP(A74,'Main Data File'!$C$4:$U$146,2,FALSE)</f>
        <v>1-1/2" ABS Bath Trap</v>
      </c>
      <c r="J74" s="169" t="str">
        <f>VLOOKUP(A74,'Main Data File'!$C$4:$U$146,18,FALSE)</f>
        <v>Done.  Item is in Menards.</v>
      </c>
      <c r="K74" s="129" t="s">
        <v>71</v>
      </c>
      <c r="L74" s="129"/>
      <c r="M74" s="129"/>
      <c r="N74" s="129"/>
      <c r="O74" s="129">
        <f>VLOOKUP(A74,'Main Data File'!$C$4:$U$146,3,FALSE)</f>
        <v>8.5</v>
      </c>
      <c r="P74" s="129">
        <f>VLOOKUP(A74,'Main Data File'!$C$4:$U$146,5,FALSE)</f>
        <v>2.5</v>
      </c>
      <c r="Q74" s="129">
        <f>VLOOKUP(A74,'Main Data File'!$C$4:$U$146,4,FALSE)</f>
        <v>8.5</v>
      </c>
      <c r="R74" s="129">
        <f>VLOOKUP(A74,'Main Data File'!$C$4:$U$146,6,FALSE)</f>
        <v>0.53</v>
      </c>
      <c r="S74" s="131">
        <f>VLOOKUP(A74,'Main Data File'!$C$4:$U$146,7,FALSE)</f>
        <v>0.10452835648148148</v>
      </c>
      <c r="T74" s="129" t="str">
        <f>VLOOKUP(A74,'Main Data File'!$C$4:$U$146,8,FALSE)</f>
        <v>Heat Formed Plastic</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0"/>
      <c r="AQ74" s="132">
        <f>VLOOKUP(A74,'Main Data File'!$C$4:$U$146,10,FALSE)</f>
        <v>32585</v>
      </c>
      <c r="AR74" s="133" t="e">
        <f>VLOOKUP(A74,#REF!,44,FALSE)</f>
        <v>#REF!</v>
      </c>
      <c r="AS74" s="133" t="e">
        <f>VLOOKUP(A74,#REF!,24,FALSE)</f>
        <v>#REF!</v>
      </c>
      <c r="AT74" s="129"/>
      <c r="AU74" s="134" t="e">
        <f t="shared" si="1"/>
        <v>#REF!</v>
      </c>
      <c r="AV74" s="139"/>
      <c r="AW74" s="133" t="e">
        <f>VLOOKUP(A74,#REF!,25,FALSE)</f>
        <v>#REF!</v>
      </c>
      <c r="AX74" s="133" t="str">
        <f>VLOOKUP(A74,'Lowe''s final SKU list'!$C$2:$Q$99,2,FALSE)</f>
        <v>YES</v>
      </c>
      <c r="AY74" s="135" t="str">
        <f>VLOOKUP(A74,'Main Data File'!$C$4:$U$146,16,FALSE)</f>
        <v>x</v>
      </c>
      <c r="AZ74" s="135" t="str">
        <f>VLOOKUP(A74,'Main Data File'!$C$4:$U$146,13,FALSE)</f>
        <v>x</v>
      </c>
      <c r="BA74" s="135" t="str">
        <f>VLOOKUP(A74,'Main Data File'!$C$4:$U$146,14,FALSE)</f>
        <v>x</v>
      </c>
      <c r="BB74" s="135" t="str">
        <f>VLOOKUP(A74,'Main Data File'!$C$4:$U$146,15,FALSE)</f>
        <v>x</v>
      </c>
    </row>
    <row r="75" spans="1:54" ht="54" hidden="1" customHeight="1">
      <c r="A75" s="16" t="s">
        <v>380</v>
      </c>
      <c r="B75" s="16" t="str">
        <f>VLOOKUP(A75,'Main Data File'!$C$4:$U$146,19,FALSE)</f>
        <v>Andy</v>
      </c>
      <c r="C75" s="16"/>
      <c r="D75" s="16"/>
      <c r="E75" s="129"/>
      <c r="F75" s="129" t="s">
        <v>786</v>
      </c>
      <c r="G75" s="130" t="str">
        <f>VLOOKUP(A75,'Main Data File'!$C$4:$U$146,17,FALSE)</f>
        <v>P-118C</v>
      </c>
      <c r="H75" s="129"/>
      <c r="I75" s="12" t="str">
        <f>VLOOKUP(A75,'Main Data File'!$C$4:$U$146,2,FALSE)</f>
        <v>1-1/2" ABS Bath Trap With Drain And Adapter</v>
      </c>
      <c r="J75" s="12" t="str">
        <f>VLOOKUP(A75,'Main Data File'!$C$4:$U$146,18,FALSE)</f>
        <v>See RVP081.</v>
      </c>
      <c r="K75" s="129" t="s">
        <v>71</v>
      </c>
      <c r="L75" s="129"/>
      <c r="M75" s="129"/>
      <c r="N75" s="129"/>
      <c r="O75" s="129">
        <f>VLOOKUP(A75,'Main Data File'!$C$4:$U$146,3,FALSE)</f>
        <v>8.5</v>
      </c>
      <c r="P75" s="129">
        <f>VLOOKUP(A75,'Main Data File'!$C$4:$U$146,5,FALSE)</f>
        <v>5</v>
      </c>
      <c r="Q75" s="129">
        <f>VLOOKUP(A75,'Main Data File'!$C$4:$U$146,4,FALSE)</f>
        <v>8.5</v>
      </c>
      <c r="R75" s="129">
        <f>VLOOKUP(A75,'Main Data File'!$C$4:$U$146,6,FALSE)</f>
        <v>0.89</v>
      </c>
      <c r="S75" s="131">
        <f>VLOOKUP(A75,'Main Data File'!$C$4:$U$146,7,FALSE)</f>
        <v>0.20905671296296297</v>
      </c>
      <c r="T75" s="129" t="str">
        <f>VLOOKUP(A75,'Main Data File'!$C$4:$U$146,8,FALSE)</f>
        <v>Heat Formed Plastic</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0"/>
      <c r="AQ75" s="132">
        <f>VLOOKUP(A75,'Main Data File'!$C$4:$U$146,10,FALSE)</f>
        <v>12952</v>
      </c>
      <c r="AR75" s="133" t="e">
        <f>VLOOKUP(A75,#REF!,44,FALSE)</f>
        <v>#REF!</v>
      </c>
      <c r="AS75" s="133" t="e">
        <f>VLOOKUP(A75,#REF!,24,FALSE)</f>
        <v>#REF!</v>
      </c>
      <c r="AT75" s="129"/>
      <c r="AU75" s="134" t="e">
        <f t="shared" si="1"/>
        <v>#REF!</v>
      </c>
      <c r="AV75" s="139"/>
      <c r="AW75" s="133" t="e">
        <f>VLOOKUP(A75,#REF!,25,FALSE)</f>
        <v>#REF!</v>
      </c>
      <c r="AX75" s="133" t="e">
        <f>VLOOKUP(A75,'Lowe''s final SKU list'!$C$2:$Q$99,2,FALSE)</f>
        <v>#N/A</v>
      </c>
      <c r="AY75" s="135">
        <f>VLOOKUP(A75,'Main Data File'!$C$4:$U$146,16,FALSE)</f>
        <v>0</v>
      </c>
      <c r="AZ75" s="135">
        <f>VLOOKUP(A75,'Main Data File'!$C$4:$U$146,13,FALSE)</f>
        <v>0</v>
      </c>
      <c r="BA75" s="135">
        <f>VLOOKUP(A75,'Main Data File'!$C$4:$U$146,14,FALSE)</f>
        <v>0</v>
      </c>
      <c r="BB75" s="135">
        <f>VLOOKUP(A75,'Main Data File'!$C$4:$U$146,15,FALSE)</f>
        <v>0</v>
      </c>
    </row>
    <row r="76" spans="1:54" ht="54" customHeight="1">
      <c r="A76" s="16" t="s">
        <v>145</v>
      </c>
      <c r="B76" s="16" t="str">
        <f>VLOOKUP(A76,'Main Data File'!$C$4:$U$146,19,FALSE)</f>
        <v>Andy</v>
      </c>
      <c r="C76" s="16" t="s">
        <v>75</v>
      </c>
      <c r="D76" s="16" t="s">
        <v>76</v>
      </c>
      <c r="E76" s="129"/>
      <c r="F76" s="129" t="s">
        <v>787</v>
      </c>
      <c r="G76" s="130" t="str">
        <f>VLOOKUP(A76,'Main Data File'!$C$4:$U$146,17,FALSE)</f>
        <v>P-105C</v>
      </c>
      <c r="H76" s="129"/>
      <c r="I76" s="12" t="str">
        <f>VLOOKUP(A76,'Main Data File'!$C$4:$U$146,2,FALSE)</f>
        <v>Bathtub Pop-Stop Drain CP</v>
      </c>
      <c r="J76" s="169" t="str">
        <f>VLOOKUP(A76,'Main Data File'!$C$4:$U$146,18,FALSE)</f>
        <v>Done.  Item is in Menards.</v>
      </c>
      <c r="K76" s="129" t="s">
        <v>71</v>
      </c>
      <c r="L76" s="129"/>
      <c r="M76" s="129"/>
      <c r="N76" s="129"/>
      <c r="O76" s="129">
        <f>VLOOKUP(A76,'Main Data File'!$C$4:$U$146,3,FALSE)</f>
        <v>5.7</v>
      </c>
      <c r="P76" s="129">
        <f>VLOOKUP(A76,'Main Data File'!$C$4:$U$146,5,FALSE)</f>
        <v>3</v>
      </c>
      <c r="Q76" s="129">
        <f>VLOOKUP(A76,'Main Data File'!$C$4:$U$146,4,FALSE)</f>
        <v>3.65</v>
      </c>
      <c r="R76" s="129">
        <f>VLOOKUP(A76,'Main Data File'!$C$4:$U$146,6,FALSE)</f>
        <v>0.2</v>
      </c>
      <c r="S76" s="131">
        <f>VLOOKUP(A76,'Main Data File'!$C$4:$U$146,7,FALSE)</f>
        <v>3.6119791666666665E-2</v>
      </c>
      <c r="T76" s="129" t="str">
        <f>VLOOKUP(A76,'Main Data File'!$C$4:$U$146,8,FALSE)</f>
        <v>Heat Formed Plastic</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0"/>
      <c r="AQ76" s="132">
        <f>VLOOKUP(A76,'Main Data File'!$C$4:$U$146,10,FALSE)</f>
        <v>17150</v>
      </c>
      <c r="AR76" s="133" t="e">
        <f>VLOOKUP(A76,#REF!,44,FALSE)</f>
        <v>#REF!</v>
      </c>
      <c r="AS76" s="133" t="e">
        <f>VLOOKUP(A76,#REF!,24,FALSE)</f>
        <v>#REF!</v>
      </c>
      <c r="AT76" s="129"/>
      <c r="AU76" s="134" t="e">
        <f t="shared" si="1"/>
        <v>#REF!</v>
      </c>
      <c r="AV76" s="139"/>
      <c r="AW76" s="133" t="e">
        <f>VLOOKUP(A76,#REF!,25,FALSE)</f>
        <v>#REF!</v>
      </c>
      <c r="AX76" s="133" t="str">
        <f>VLOOKUP(A76,'Lowe''s final SKU list'!$C$2:$Q$99,2,FALSE)</f>
        <v>YES</v>
      </c>
      <c r="AY76" s="135" t="str">
        <f>VLOOKUP(A76,'Main Data File'!$C$4:$U$146,16,FALSE)</f>
        <v>x</v>
      </c>
      <c r="AZ76" s="135" t="str">
        <f>VLOOKUP(A76,'Main Data File'!$C$4:$U$146,13,FALSE)</f>
        <v>x</v>
      </c>
      <c r="BA76" s="135" t="str">
        <f>VLOOKUP(A76,'Main Data File'!$C$4:$U$146,14,FALSE)</f>
        <v>x</v>
      </c>
      <c r="BB76" s="135" t="str">
        <f>VLOOKUP(A76,'Main Data File'!$C$4:$U$146,15,FALSE)</f>
        <v>x</v>
      </c>
    </row>
    <row r="77" spans="1:54" ht="54" customHeight="1">
      <c r="A77" s="16" t="s">
        <v>146</v>
      </c>
      <c r="B77" s="16" t="str">
        <f>VLOOKUP(A77,'Main Data File'!$C$4:$U$146,19,FALSE)</f>
        <v>Andy</v>
      </c>
      <c r="C77" s="16"/>
      <c r="D77" s="16"/>
      <c r="E77" s="129"/>
      <c r="F77" s="129" t="s">
        <v>788</v>
      </c>
      <c r="G77" s="130" t="str">
        <f>VLOOKUP(A77,'Main Data File'!$C$4:$U$146,17,FALSE)</f>
        <v>P-1357C</v>
      </c>
      <c r="H77" s="129"/>
      <c r="I77" s="12" t="str">
        <f>VLOOKUP(A77,'Main Data File'!$C$4:$U$146,2,FALSE)</f>
        <v>Bathtub Pop-Stop Drain White</v>
      </c>
      <c r="J77" s="12" t="str">
        <f>VLOOKUP(A77,'Main Data File'!$C$4:$U$146,18,FALSE)</f>
        <v>See RVP083.</v>
      </c>
      <c r="K77" s="129" t="s">
        <v>71</v>
      </c>
      <c r="L77" s="129"/>
      <c r="M77" s="129"/>
      <c r="N77" s="129"/>
      <c r="O77" s="129">
        <f>VLOOKUP(A77,'Main Data File'!$C$4:$U$146,3,FALSE)</f>
        <v>5.7</v>
      </c>
      <c r="P77" s="129">
        <f>VLOOKUP(A77,'Main Data File'!$C$4:$U$146,5,FALSE)</f>
        <v>3</v>
      </c>
      <c r="Q77" s="129">
        <f>VLOOKUP(A77,'Main Data File'!$C$4:$U$146,4,FALSE)</f>
        <v>3.65</v>
      </c>
      <c r="R77" s="129">
        <f>VLOOKUP(A77,'Main Data File'!$C$4:$U$146,6,FALSE)</f>
        <v>0.2</v>
      </c>
      <c r="S77" s="131">
        <f>VLOOKUP(A77,'Main Data File'!$C$4:$U$146,7,FALSE)</f>
        <v>3.6119791666666665E-2</v>
      </c>
      <c r="T77" s="129" t="str">
        <f>VLOOKUP(A77,'Main Data File'!$C$4:$U$146,8,FALSE)</f>
        <v>Heat Formed Plastic</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0"/>
      <c r="AQ77" s="132">
        <f>VLOOKUP(A77,'Main Data File'!$C$4:$U$146,10,FALSE)</f>
        <v>340.00000000000006</v>
      </c>
      <c r="AR77" s="133" t="e">
        <f>VLOOKUP(A77,#REF!,44,FALSE)</f>
        <v>#REF!</v>
      </c>
      <c r="AS77" s="133" t="e">
        <f>VLOOKUP(A77,#REF!,24,FALSE)</f>
        <v>#REF!</v>
      </c>
      <c r="AT77" s="129"/>
      <c r="AU77" s="134" t="e">
        <f t="shared" si="1"/>
        <v>#REF!</v>
      </c>
      <c r="AV77" s="139"/>
      <c r="AW77" s="133" t="e">
        <f>VLOOKUP(A77,#REF!,25,FALSE)</f>
        <v>#REF!</v>
      </c>
      <c r="AX77" s="133" t="str">
        <f>VLOOKUP(A77,'Lowe''s final SKU list'!$C$2:$Q$99,2,FALSE)</f>
        <v>YES</v>
      </c>
      <c r="AY77" s="135" t="str">
        <f>VLOOKUP(A77,'Main Data File'!$C$4:$U$146,16,FALSE)</f>
        <v>x</v>
      </c>
      <c r="AZ77" s="135">
        <f>VLOOKUP(A77,'Main Data File'!$C$4:$U$146,13,FALSE)</f>
        <v>0</v>
      </c>
      <c r="BA77" s="135">
        <f>VLOOKUP(A77,'Main Data File'!$C$4:$U$146,14,FALSE)</f>
        <v>0</v>
      </c>
      <c r="BB77" s="135">
        <f>VLOOKUP(A77,'Main Data File'!$C$4:$U$146,15,FALSE)</f>
        <v>0</v>
      </c>
    </row>
    <row r="78" spans="1:54" ht="54" customHeight="1">
      <c r="A78" s="16" t="s">
        <v>147</v>
      </c>
      <c r="B78" s="16" t="str">
        <f>VLOOKUP(A78,'Main Data File'!$C$4:$U$146,19,FALSE)</f>
        <v>Andy</v>
      </c>
      <c r="C78" s="16"/>
      <c r="D78" s="16"/>
      <c r="E78" s="129"/>
      <c r="F78" s="129" t="s">
        <v>789</v>
      </c>
      <c r="G78" s="130" t="str">
        <f>VLOOKUP(A78,'Main Data File'!$C$4:$U$146,17,FALSE)</f>
        <v>P-030N</v>
      </c>
      <c r="H78" s="129"/>
      <c r="I78" s="12" t="str">
        <f>VLOOKUP(A78,'Main Data File'!$C$4:$U$146,2,FALSE)</f>
        <v>Brass Garden Tub Faucet</v>
      </c>
      <c r="J78" s="12" t="str">
        <f>VLOOKUP(A78,'Main Data File'!$C$4:$U$146,18,FALSE)</f>
        <v>Write from scratch</v>
      </c>
      <c r="K78" s="129" t="s">
        <v>71</v>
      </c>
      <c r="L78" s="129"/>
      <c r="M78" s="129"/>
      <c r="N78" s="129"/>
      <c r="O78" s="129">
        <f>VLOOKUP(A78,'Main Data File'!$C$4:$U$146,3,FALSE)</f>
        <v>4</v>
      </c>
      <c r="P78" s="129">
        <f>VLOOKUP(A78,'Main Data File'!$C$4:$U$146,5,FALSE)</f>
        <v>11</v>
      </c>
      <c r="Q78" s="129">
        <f>VLOOKUP(A78,'Main Data File'!$C$4:$U$146,4,FALSE)</f>
        <v>6</v>
      </c>
      <c r="R78" s="129" t="str">
        <f>VLOOKUP(A78,'Main Data File'!$C$4:$U$146,6,FALSE)</f>
        <v>TBD</v>
      </c>
      <c r="S78" s="131" t="str">
        <f>VLOOKUP(A78,'Main Data File'!$C$4:$U$146,7,FALSE)</f>
        <v>TBD</v>
      </c>
      <c r="T78" s="129" t="str">
        <f>VLOOKUP(A78,'Main Data File'!$C$4:$U$146,8,FALSE)</f>
        <v>Cardboard Box</v>
      </c>
      <c r="U78" s="129"/>
      <c r="V78" s="129"/>
      <c r="W78" s="129"/>
      <c r="X78" s="129"/>
      <c r="Y78" s="129"/>
      <c r="Z78" s="129"/>
      <c r="AA78" s="129"/>
      <c r="AB78" s="129"/>
      <c r="AC78" s="129"/>
      <c r="AD78" s="129"/>
      <c r="AE78" s="129"/>
      <c r="AF78" s="129"/>
      <c r="AG78" s="129"/>
      <c r="AH78" s="129"/>
      <c r="AI78" s="129"/>
      <c r="AJ78" s="129"/>
      <c r="AK78" s="129"/>
      <c r="AL78" s="129"/>
      <c r="AM78" s="129"/>
      <c r="AN78" s="129"/>
      <c r="AO78" s="129"/>
      <c r="AP78" s="10"/>
      <c r="AQ78" s="132">
        <f>VLOOKUP(A78,'Main Data File'!$C$4:$U$146,10,FALSE)</f>
        <v>340.00000000000006</v>
      </c>
      <c r="AR78" s="133" t="e">
        <f>VLOOKUP(A78,#REF!,44,FALSE)</f>
        <v>#REF!</v>
      </c>
      <c r="AS78" s="133" t="e">
        <f>VLOOKUP(A78,#REF!,24,FALSE)</f>
        <v>#REF!</v>
      </c>
      <c r="AT78" s="129"/>
      <c r="AU78" s="134" t="e">
        <f t="shared" si="1"/>
        <v>#REF!</v>
      </c>
      <c r="AV78" s="139"/>
      <c r="AW78" s="133" t="e">
        <f>VLOOKUP(A78,#REF!,25,FALSE)</f>
        <v>#REF!</v>
      </c>
      <c r="AX78" s="133" t="str">
        <f>VLOOKUP(A78,'Lowe''s final SKU list'!$C$2:$Q$99,2,FALSE)</f>
        <v>YES</v>
      </c>
      <c r="AY78" s="135" t="str">
        <f>VLOOKUP(A78,'Main Data File'!$C$4:$U$146,16,FALSE)</f>
        <v>x</v>
      </c>
      <c r="AZ78" s="135">
        <f>VLOOKUP(A78,'Main Data File'!$C$4:$U$146,13,FALSE)</f>
        <v>0</v>
      </c>
      <c r="BA78" s="135">
        <f>VLOOKUP(A78,'Main Data File'!$C$4:$U$146,14,FALSE)</f>
        <v>0</v>
      </c>
      <c r="BB78" s="135">
        <f>VLOOKUP(A78,'Main Data File'!$C$4:$U$146,15,FALSE)</f>
        <v>0</v>
      </c>
    </row>
    <row r="79" spans="1:54" ht="54" customHeight="1">
      <c r="A79" s="16" t="s">
        <v>148</v>
      </c>
      <c r="B79" s="16" t="str">
        <f>VLOOKUP(A79,'Main Data File'!$C$4:$U$146,19,FALSE)</f>
        <v>Andy</v>
      </c>
      <c r="C79" s="16"/>
      <c r="D79" s="16"/>
      <c r="E79" s="129"/>
      <c r="F79" s="129" t="s">
        <v>790</v>
      </c>
      <c r="G79" s="130" t="str">
        <f>VLOOKUP(A79,'Main Data File'!$C$4:$U$146,17,FALSE)</f>
        <v>P-001N</v>
      </c>
      <c r="H79" s="129"/>
      <c r="I79" s="12" t="str">
        <f>VLOOKUP(A79,'Main Data File'!$C$4:$U$146,2,FALSE)</f>
        <v>3-Handle Tub/Shower Faucet Complete</v>
      </c>
      <c r="J79" s="12" t="str">
        <f>VLOOKUP(A79,'Main Data File'!$C$4:$U$146,18,FALSE)</f>
        <v>Write from scratch</v>
      </c>
      <c r="K79" s="129" t="s">
        <v>71</v>
      </c>
      <c r="L79" s="129"/>
      <c r="M79" s="129"/>
      <c r="N79" s="129"/>
      <c r="O79" s="129">
        <f>VLOOKUP(A79,'Main Data File'!$C$4:$U$146,3,FALSE)</f>
        <v>4</v>
      </c>
      <c r="P79" s="129">
        <f>VLOOKUP(A79,'Main Data File'!$C$4:$U$146,5,FALSE)</f>
        <v>11</v>
      </c>
      <c r="Q79" s="129">
        <f>VLOOKUP(A79,'Main Data File'!$C$4:$U$146,4,FALSE)</f>
        <v>6</v>
      </c>
      <c r="R79" s="129">
        <f>VLOOKUP(A79,'Main Data File'!$C$4:$U$146,6,FALSE)</f>
        <v>5</v>
      </c>
      <c r="S79" s="131">
        <f>VLOOKUP(A79,'Main Data File'!$C$4:$U$146,7,FALSE)</f>
        <v>0.15277777777777779</v>
      </c>
      <c r="T79" s="129" t="str">
        <f>VLOOKUP(A79,'Main Data File'!$C$4:$U$146,8,FALSE)</f>
        <v>Cardboard Box</v>
      </c>
      <c r="U79" s="129"/>
      <c r="V79" s="129"/>
      <c r="W79" s="129"/>
      <c r="X79" s="129"/>
      <c r="Y79" s="129"/>
      <c r="Z79" s="129"/>
      <c r="AA79" s="129"/>
      <c r="AB79" s="129"/>
      <c r="AC79" s="129"/>
      <c r="AD79" s="129"/>
      <c r="AE79" s="129"/>
      <c r="AF79" s="129"/>
      <c r="AG79" s="129"/>
      <c r="AH79" s="129"/>
      <c r="AI79" s="129"/>
      <c r="AJ79" s="129"/>
      <c r="AK79" s="129"/>
      <c r="AL79" s="129"/>
      <c r="AM79" s="129"/>
      <c r="AN79" s="129"/>
      <c r="AO79" s="129"/>
      <c r="AP79" s="10"/>
      <c r="AQ79" s="132">
        <f>VLOOKUP(A79,'Main Data File'!$C$4:$U$146,10,FALSE)</f>
        <v>920</v>
      </c>
      <c r="AR79" s="133" t="e">
        <f>VLOOKUP(A79,#REF!,44,FALSE)</f>
        <v>#REF!</v>
      </c>
      <c r="AS79" s="133" t="e">
        <f>VLOOKUP(A79,#REF!,24,FALSE)</f>
        <v>#REF!</v>
      </c>
      <c r="AT79" s="129"/>
      <c r="AU79" s="134" t="e">
        <f t="shared" si="1"/>
        <v>#REF!</v>
      </c>
      <c r="AV79" s="139"/>
      <c r="AW79" s="133" t="e">
        <f>VLOOKUP(A79,#REF!,25,FALSE)</f>
        <v>#REF!</v>
      </c>
      <c r="AX79" s="133" t="str">
        <f>VLOOKUP(A79,'Lowe''s final SKU list'!$C$2:$Q$99,2,FALSE)</f>
        <v>YES</v>
      </c>
      <c r="AY79" s="135" t="str">
        <f>VLOOKUP(A79,'Main Data File'!$C$4:$U$146,16,FALSE)</f>
        <v>x</v>
      </c>
      <c r="AZ79" s="135">
        <f>VLOOKUP(A79,'Main Data File'!$C$4:$U$146,13,FALSE)</f>
        <v>0</v>
      </c>
      <c r="BA79" s="135" t="str">
        <f>VLOOKUP(A79,'Main Data File'!$C$4:$U$146,14,FALSE)</f>
        <v>x</v>
      </c>
      <c r="BB79" s="135">
        <f>VLOOKUP(A79,'Main Data File'!$C$4:$U$146,15,FALSE)</f>
        <v>0</v>
      </c>
    </row>
    <row r="80" spans="1:54" ht="54" customHeight="1">
      <c r="A80" s="16" t="s">
        <v>149</v>
      </c>
      <c r="B80" s="16" t="str">
        <f>VLOOKUP(A80,'Main Data File'!$C$4:$U$146,19,FALSE)</f>
        <v>Andy</v>
      </c>
      <c r="C80" s="16"/>
      <c r="D80" s="16"/>
      <c r="E80" s="129"/>
      <c r="F80" s="129" t="s">
        <v>791</v>
      </c>
      <c r="G80" s="130" t="str">
        <f>VLOOKUP(A80,'Main Data File'!$C$4:$U$146,17,FALSE)</f>
        <v>P-004N</v>
      </c>
      <c r="H80" s="129"/>
      <c r="I80" s="12" t="str">
        <f>VLOOKUP(A80,'Main Data File'!$C$4:$U$146,2,FALSE)</f>
        <v>2-Handle Tub/Shower Faucet Complete</v>
      </c>
      <c r="J80" s="12" t="str">
        <f>VLOOKUP(A80,'Main Data File'!$C$4:$U$146,18,FALSE)</f>
        <v>Write from scratch</v>
      </c>
      <c r="K80" s="129" t="s">
        <v>71</v>
      </c>
      <c r="L80" s="129"/>
      <c r="M80" s="129"/>
      <c r="N80" s="129"/>
      <c r="O80" s="129">
        <f>VLOOKUP(A80,'Main Data File'!$C$4:$U$146,3,FALSE)</f>
        <v>4</v>
      </c>
      <c r="P80" s="129">
        <f>VLOOKUP(A80,'Main Data File'!$C$4:$U$146,5,FALSE)</f>
        <v>11</v>
      </c>
      <c r="Q80" s="129">
        <f>VLOOKUP(A80,'Main Data File'!$C$4:$U$146,4,FALSE)</f>
        <v>6</v>
      </c>
      <c r="R80" s="129">
        <f>VLOOKUP(A80,'Main Data File'!$C$4:$U$146,6,FALSE)</f>
        <v>5</v>
      </c>
      <c r="S80" s="131">
        <f>VLOOKUP(A80,'Main Data File'!$C$4:$U$146,7,FALSE)</f>
        <v>0.15277777777777779</v>
      </c>
      <c r="T80" s="129" t="str">
        <f>VLOOKUP(A80,'Main Data File'!$C$4:$U$146,8,FALSE)</f>
        <v>Cardboard Box</v>
      </c>
      <c r="U80" s="129"/>
      <c r="V80" s="129"/>
      <c r="W80" s="129"/>
      <c r="X80" s="129"/>
      <c r="Y80" s="129"/>
      <c r="Z80" s="129"/>
      <c r="AA80" s="129"/>
      <c r="AB80" s="129"/>
      <c r="AC80" s="129"/>
      <c r="AD80" s="129"/>
      <c r="AE80" s="129"/>
      <c r="AF80" s="129"/>
      <c r="AG80" s="129"/>
      <c r="AH80" s="129"/>
      <c r="AI80" s="129"/>
      <c r="AJ80" s="129"/>
      <c r="AK80" s="129"/>
      <c r="AL80" s="129"/>
      <c r="AM80" s="129"/>
      <c r="AN80" s="129"/>
      <c r="AO80" s="129"/>
      <c r="AP80" s="10"/>
      <c r="AQ80" s="132">
        <f>VLOOKUP(A80,'Main Data File'!$C$4:$U$146,10,FALSE)</f>
        <v>920</v>
      </c>
      <c r="AR80" s="133" t="e">
        <f>VLOOKUP(A80,#REF!,44,FALSE)</f>
        <v>#REF!</v>
      </c>
      <c r="AS80" s="133" t="e">
        <f>VLOOKUP(A80,#REF!,24,FALSE)</f>
        <v>#REF!</v>
      </c>
      <c r="AT80" s="129"/>
      <c r="AU80" s="134" t="e">
        <f t="shared" si="1"/>
        <v>#REF!</v>
      </c>
      <c r="AV80" s="139"/>
      <c r="AW80" s="133" t="e">
        <f>VLOOKUP(A80,#REF!,25,FALSE)</f>
        <v>#REF!</v>
      </c>
      <c r="AX80" s="133" t="str">
        <f>VLOOKUP(A80,'Lowe''s final SKU list'!$C$2:$Q$99,2,FALSE)</f>
        <v>YES</v>
      </c>
      <c r="AY80" s="135" t="str">
        <f>VLOOKUP(A80,'Main Data File'!$C$4:$U$146,16,FALSE)</f>
        <v>x</v>
      </c>
      <c r="AZ80" s="135">
        <f>VLOOKUP(A80,'Main Data File'!$C$4:$U$146,13,FALSE)</f>
        <v>0</v>
      </c>
      <c r="BA80" s="135" t="str">
        <f>VLOOKUP(A80,'Main Data File'!$C$4:$U$146,14,FALSE)</f>
        <v>x</v>
      </c>
      <c r="BB80" s="135">
        <f>VLOOKUP(A80,'Main Data File'!$C$4:$U$146,15,FALSE)</f>
        <v>0</v>
      </c>
    </row>
    <row r="81" spans="1:54" ht="54" customHeight="1">
      <c r="A81" s="16" t="s">
        <v>150</v>
      </c>
      <c r="B81" s="16" t="str">
        <f>VLOOKUP(A81,'Main Data File'!$C$4:$U$146,19,FALSE)</f>
        <v>Andy</v>
      </c>
      <c r="C81" s="16"/>
      <c r="D81" s="16"/>
      <c r="E81" s="129"/>
      <c r="F81" s="129" t="s">
        <v>792</v>
      </c>
      <c r="G81" s="130" t="str">
        <f>VLOOKUP(A81,'Main Data File'!$C$4:$U$146,17,FALSE)</f>
        <v>RV-321C</v>
      </c>
      <c r="H81" s="129"/>
      <c r="I81" s="12" t="str">
        <f>VLOOKUP(A81,'Main Data File'!$C$4:$U$146,2,FALSE)</f>
        <v>40-50# Pressure Input Regulator</v>
      </c>
      <c r="J81" s="12" t="str">
        <f>VLOOKUP(A81,'Main Data File'!$C$4:$U$146,18,FALSE)</f>
        <v>Modify USH instructions</v>
      </c>
      <c r="K81" s="129" t="s">
        <v>71</v>
      </c>
      <c r="L81" s="129"/>
      <c r="M81" s="129"/>
      <c r="N81" s="129"/>
      <c r="O81" s="129">
        <f>VLOOKUP(A81,'Main Data File'!$C$4:$U$146,3,FALSE)</f>
        <v>5.7</v>
      </c>
      <c r="P81" s="129">
        <f>VLOOKUP(A81,'Main Data File'!$C$4:$U$146,5,FALSE)</f>
        <v>1.75</v>
      </c>
      <c r="Q81" s="129">
        <f>VLOOKUP(A81,'Main Data File'!$C$4:$U$146,4,FALSE)</f>
        <v>3.65</v>
      </c>
      <c r="R81" s="129">
        <f>VLOOKUP(A81,'Main Data File'!$C$4:$U$146,6,FALSE)</f>
        <v>0.46</v>
      </c>
      <c r="S81" s="131">
        <f>VLOOKUP(A81,'Main Data File'!$C$4:$U$146,7,FALSE)</f>
        <v>2.106987847222222E-2</v>
      </c>
      <c r="T81" s="129" t="str">
        <f>VLOOKUP(A81,'Main Data File'!$C$4:$U$146,8,FALSE)</f>
        <v>Heat Formed Plastic</v>
      </c>
      <c r="U81" s="129"/>
      <c r="V81" s="129"/>
      <c r="W81" s="129"/>
      <c r="X81" s="129"/>
      <c r="Y81" s="129"/>
      <c r="Z81" s="129"/>
      <c r="AA81" s="129"/>
      <c r="AB81" s="129"/>
      <c r="AC81" s="129"/>
      <c r="AD81" s="129"/>
      <c r="AE81" s="129"/>
      <c r="AF81" s="129"/>
      <c r="AG81" s="129"/>
      <c r="AH81" s="129"/>
      <c r="AI81" s="129"/>
      <c r="AJ81" s="129"/>
      <c r="AK81" s="129"/>
      <c r="AL81" s="129"/>
      <c r="AM81" s="129"/>
      <c r="AN81" s="129"/>
      <c r="AO81" s="129"/>
      <c r="AP81" s="10"/>
      <c r="AQ81" s="132">
        <f>VLOOKUP(A81,'Main Data File'!$C$4:$U$146,10,FALSE)</f>
        <v>19188</v>
      </c>
      <c r="AR81" s="133" t="e">
        <f>VLOOKUP(A81,#REF!,44,FALSE)</f>
        <v>#REF!</v>
      </c>
      <c r="AS81" s="133" t="e">
        <f>VLOOKUP(A81,#REF!,24,FALSE)</f>
        <v>#REF!</v>
      </c>
      <c r="AT81" s="129"/>
      <c r="AU81" s="134" t="e">
        <f t="shared" si="1"/>
        <v>#REF!</v>
      </c>
      <c r="AV81" s="139"/>
      <c r="AW81" s="133" t="e">
        <f>VLOOKUP(A81,#REF!,25,FALSE)</f>
        <v>#REF!</v>
      </c>
      <c r="AX81" s="133" t="str">
        <f>VLOOKUP(A81,'Lowe''s final SKU list'!$C$2:$Q$99,2,FALSE)</f>
        <v>YES</v>
      </c>
      <c r="AY81" s="135" t="str">
        <f>VLOOKUP(A81,'Main Data File'!$C$4:$U$146,16,FALSE)</f>
        <v>x</v>
      </c>
      <c r="AZ81" s="135" t="str">
        <f>VLOOKUP(A81,'Main Data File'!$C$4:$U$146,13,FALSE)</f>
        <v>x</v>
      </c>
      <c r="BA81" s="135">
        <f>VLOOKUP(A81,'Main Data File'!$C$4:$U$146,14,FALSE)</f>
        <v>0</v>
      </c>
      <c r="BB81" s="135" t="str">
        <f>VLOOKUP(A81,'Main Data File'!$C$4:$U$146,15,FALSE)</f>
        <v>x</v>
      </c>
    </row>
    <row r="82" spans="1:54" ht="54" customHeight="1">
      <c r="A82" s="16" t="s">
        <v>151</v>
      </c>
      <c r="B82" s="16" t="str">
        <f>VLOOKUP(A82,'Main Data File'!$C$4:$U$146,19,FALSE)</f>
        <v>Boyd</v>
      </c>
      <c r="C82" s="16"/>
      <c r="D82" s="16"/>
      <c r="E82" s="129"/>
      <c r="F82" s="129" t="s">
        <v>1454</v>
      </c>
      <c r="G82" s="130" t="str">
        <f>VLOOKUP(A82,'Main Data File'!$C$4:$U$146,17,FALSE)</f>
        <v>RV-346B</v>
      </c>
      <c r="H82" s="129"/>
      <c r="I82" s="12" t="str">
        <f>VLOOKUP(A82,'Main Data File'!$C$4:$U$146,2,FALSE)</f>
        <v>18" Male RV Electrical Hook-Up Cord</v>
      </c>
      <c r="J82" s="12" t="str">
        <f>VLOOKUP(A82,'Main Data File'!$C$4:$U$146,18,FALSE)</f>
        <v>Modify USH instructions</v>
      </c>
      <c r="K82" s="129" t="s">
        <v>71</v>
      </c>
      <c r="L82" s="129"/>
      <c r="M82" s="129"/>
      <c r="N82" s="129"/>
      <c r="O82" s="129">
        <f>VLOOKUP(A82,'Main Data File'!$C$4:$U$146,3,FALSE)</f>
        <v>12</v>
      </c>
      <c r="P82" s="129">
        <f>VLOOKUP(A82,'Main Data File'!$C$4:$U$146,5,FALSE)</f>
        <v>2.5</v>
      </c>
      <c r="Q82" s="129">
        <f>VLOOKUP(A82,'Main Data File'!$C$4:$U$146,4,FALSE)</f>
        <v>6.25</v>
      </c>
      <c r="R82" s="129">
        <f>VLOOKUP(A82,'Main Data File'!$C$4:$U$146,6,FALSE)</f>
        <v>2</v>
      </c>
      <c r="S82" s="131">
        <f>VLOOKUP(A82,'Main Data File'!$C$4:$U$146,7,FALSE)</f>
        <v>0.10850694444444445</v>
      </c>
      <c r="T82" s="129" t="str">
        <f>VLOOKUP(A82,'Main Data File'!$C$4:$U$146,8,FALSE)</f>
        <v>Bagged</v>
      </c>
      <c r="U82" s="129"/>
      <c r="V82" s="129"/>
      <c r="W82" s="129"/>
      <c r="X82" s="129"/>
      <c r="Y82" s="129"/>
      <c r="Z82" s="129"/>
      <c r="AA82" s="129"/>
      <c r="AB82" s="129"/>
      <c r="AC82" s="129"/>
      <c r="AD82" s="129"/>
      <c r="AE82" s="129"/>
      <c r="AF82" s="129"/>
      <c r="AG82" s="129"/>
      <c r="AH82" s="129"/>
      <c r="AI82" s="129"/>
      <c r="AJ82" s="129"/>
      <c r="AK82" s="129"/>
      <c r="AL82" s="129"/>
      <c r="AM82" s="129"/>
      <c r="AN82" s="129"/>
      <c r="AO82" s="129"/>
      <c r="AP82" s="10"/>
      <c r="AQ82" s="132">
        <f>VLOOKUP(A82,'Main Data File'!$C$4:$U$146,10,FALSE)</f>
        <v>9594</v>
      </c>
      <c r="AR82" s="133" t="e">
        <f>VLOOKUP(A82,#REF!,44,FALSE)</f>
        <v>#REF!</v>
      </c>
      <c r="AS82" s="133" t="e">
        <f>VLOOKUP(A82,#REF!,24,FALSE)</f>
        <v>#REF!</v>
      </c>
      <c r="AT82" s="129"/>
      <c r="AU82" s="134" t="e">
        <f t="shared" si="1"/>
        <v>#REF!</v>
      </c>
      <c r="AV82" s="139"/>
      <c r="AW82" s="133" t="e">
        <f>VLOOKUP(A82,#REF!,25,FALSE)</f>
        <v>#REF!</v>
      </c>
      <c r="AX82" s="133" t="str">
        <f>VLOOKUP(A82,'Lowe''s final SKU list'!$C$2:$Q$99,2,FALSE)</f>
        <v>YES</v>
      </c>
      <c r="AY82" s="135" t="str">
        <f>VLOOKUP(A82,'Main Data File'!$C$4:$U$146,16,FALSE)</f>
        <v>x</v>
      </c>
      <c r="AZ82" s="135" t="str">
        <f>VLOOKUP(A82,'Main Data File'!$C$4:$U$146,13,FALSE)</f>
        <v>x</v>
      </c>
      <c r="BA82" s="135">
        <f>VLOOKUP(A82,'Main Data File'!$C$4:$U$146,14,FALSE)</f>
        <v>0</v>
      </c>
      <c r="BB82" s="135" t="str">
        <f>VLOOKUP(A82,'Main Data File'!$C$4:$U$146,15,FALSE)</f>
        <v>x</v>
      </c>
    </row>
    <row r="83" spans="1:54" ht="54" customHeight="1">
      <c r="A83" s="16" t="s">
        <v>152</v>
      </c>
      <c r="B83" s="16" t="str">
        <f>VLOOKUP(A83,'Main Data File'!$C$4:$U$146,19,FALSE)</f>
        <v>Boyd</v>
      </c>
      <c r="C83" s="16"/>
      <c r="D83" s="16"/>
      <c r="E83" s="129"/>
      <c r="F83" s="129" t="s">
        <v>1455</v>
      </c>
      <c r="G83" s="130" t="str">
        <f>VLOOKUP(A83,'Main Data File'!$C$4:$U$146,17,FALSE)</f>
        <v>RV-347B</v>
      </c>
      <c r="H83" s="129"/>
      <c r="I83" s="12" t="str">
        <f>VLOOKUP(A83,'Main Data File'!$C$4:$U$146,2,FALSE)</f>
        <v>18" Female RV Electrical Hook-Up Cord</v>
      </c>
      <c r="J83" s="12" t="str">
        <f>VLOOKUP(A83,'Main Data File'!$C$4:$U$146,18,FALSE)</f>
        <v>Modify USH instructions</v>
      </c>
      <c r="K83" s="129" t="s">
        <v>71</v>
      </c>
      <c r="L83" s="129"/>
      <c r="M83" s="129"/>
      <c r="N83" s="129"/>
      <c r="O83" s="129">
        <f>VLOOKUP(A83,'Main Data File'!$C$4:$U$146,3,FALSE)</f>
        <v>12</v>
      </c>
      <c r="P83" s="129">
        <f>VLOOKUP(A83,'Main Data File'!$C$4:$U$146,5,FALSE)</f>
        <v>2.5</v>
      </c>
      <c r="Q83" s="129">
        <f>VLOOKUP(A83,'Main Data File'!$C$4:$U$146,4,FALSE)</f>
        <v>6.25</v>
      </c>
      <c r="R83" s="129">
        <f>VLOOKUP(A83,'Main Data File'!$C$4:$U$146,6,FALSE)</f>
        <v>2</v>
      </c>
      <c r="S83" s="131">
        <f>VLOOKUP(A83,'Main Data File'!$C$4:$U$146,7,FALSE)</f>
        <v>0.10850694444444445</v>
      </c>
      <c r="T83" s="129" t="str">
        <f>VLOOKUP(A83,'Main Data File'!$C$4:$U$146,8,FALSE)</f>
        <v>Bagged</v>
      </c>
      <c r="U83" s="129"/>
      <c r="V83" s="129"/>
      <c r="W83" s="129"/>
      <c r="X83" s="129"/>
      <c r="Y83" s="129"/>
      <c r="Z83" s="129"/>
      <c r="AA83" s="129"/>
      <c r="AB83" s="129"/>
      <c r="AC83" s="129"/>
      <c r="AD83" s="129"/>
      <c r="AE83" s="129"/>
      <c r="AF83" s="129"/>
      <c r="AG83" s="129"/>
      <c r="AH83" s="129"/>
      <c r="AI83" s="129"/>
      <c r="AJ83" s="129"/>
      <c r="AK83" s="129"/>
      <c r="AL83" s="129"/>
      <c r="AM83" s="129"/>
      <c r="AN83" s="129"/>
      <c r="AO83" s="129"/>
      <c r="AP83" s="10"/>
      <c r="AQ83" s="132">
        <f>VLOOKUP(A83,'Main Data File'!$C$4:$U$146,10,FALSE)</f>
        <v>920</v>
      </c>
      <c r="AR83" s="133" t="e">
        <f>VLOOKUP(A83,#REF!,44,FALSE)</f>
        <v>#REF!</v>
      </c>
      <c r="AS83" s="133" t="e">
        <f>VLOOKUP(A83,#REF!,24,FALSE)</f>
        <v>#REF!</v>
      </c>
      <c r="AT83" s="129"/>
      <c r="AU83" s="134" t="e">
        <f t="shared" si="1"/>
        <v>#REF!</v>
      </c>
      <c r="AV83" s="139"/>
      <c r="AW83" s="133" t="e">
        <f>VLOOKUP(A83,#REF!,25,FALSE)</f>
        <v>#REF!</v>
      </c>
      <c r="AX83" s="133" t="str">
        <f>VLOOKUP(A83,'Lowe''s final SKU list'!$C$2:$Q$99,2,FALSE)</f>
        <v>YES</v>
      </c>
      <c r="AY83" s="135" t="str">
        <f>VLOOKUP(A83,'Main Data File'!$C$4:$U$146,16,FALSE)</f>
        <v>x</v>
      </c>
      <c r="AZ83" s="135" t="str">
        <f>VLOOKUP(A83,'Main Data File'!$C$4:$U$146,13,FALSE)</f>
        <v>x</v>
      </c>
      <c r="BA83" s="135">
        <f>VLOOKUP(A83,'Main Data File'!$C$4:$U$146,14,FALSE)</f>
        <v>0</v>
      </c>
      <c r="BB83" s="135" t="str">
        <f>VLOOKUP(A83,'Main Data File'!$C$4:$U$146,15,FALSE)</f>
        <v>x</v>
      </c>
    </row>
    <row r="84" spans="1:54" ht="54" customHeight="1">
      <c r="A84" s="16" t="s">
        <v>153</v>
      </c>
      <c r="B84" s="16" t="str">
        <f>VLOOKUP(A84,'Main Data File'!$C$4:$U$146,19,FALSE)</f>
        <v>Boyd</v>
      </c>
      <c r="C84" s="16"/>
      <c r="D84" s="16"/>
      <c r="E84" s="129"/>
      <c r="F84" s="129" t="s">
        <v>1456</v>
      </c>
      <c r="G84" s="130" t="str">
        <f>VLOOKUP(A84,'Main Data File'!$C$4:$U$146,17,FALSE)</f>
        <v>RV-687</v>
      </c>
      <c r="H84" s="129"/>
      <c r="I84" s="12" t="str">
        <f>VLOOKUP(A84,'Main Data File'!$C$4:$U$146,2,FALSE)</f>
        <v>25' RV Cord Hook-Up Cord</v>
      </c>
      <c r="J84" s="12" t="str">
        <f>VLOOKUP(A84,'Main Data File'!$C$4:$U$146,18,FALSE)</f>
        <v>Modify USH instructions</v>
      </c>
      <c r="K84" s="129" t="s">
        <v>71</v>
      </c>
      <c r="L84" s="129"/>
      <c r="M84" s="129"/>
      <c r="N84" s="129"/>
      <c r="O84" s="129">
        <f>VLOOKUP(A84,'Main Data File'!$C$4:$U$146,3,FALSE)</f>
        <v>3.5</v>
      </c>
      <c r="P84" s="129">
        <f>VLOOKUP(A84,'Main Data File'!$C$4:$U$146,5,FALSE)</f>
        <v>11</v>
      </c>
      <c r="Q84" s="129">
        <f>VLOOKUP(A84,'Main Data File'!$C$4:$U$146,4,FALSE)</f>
        <v>3.5</v>
      </c>
      <c r="R84" s="129">
        <f>VLOOKUP(A84,'Main Data File'!$C$4:$U$146,6,FALSE)</f>
        <v>8</v>
      </c>
      <c r="S84" s="131">
        <f>VLOOKUP(A84,'Main Data File'!$C$4:$U$146,7,FALSE)</f>
        <v>7.798032407407407E-2</v>
      </c>
      <c r="T84" s="129" t="str">
        <f>VLOOKUP(A84,'Main Data File'!$C$4:$U$146,8,FALSE)</f>
        <v>Banded</v>
      </c>
      <c r="U84" s="129"/>
      <c r="V84" s="129"/>
      <c r="W84" s="129"/>
      <c r="X84" s="129"/>
      <c r="Y84" s="129"/>
      <c r="Z84" s="129"/>
      <c r="AA84" s="129"/>
      <c r="AB84" s="129"/>
      <c r="AC84" s="129"/>
      <c r="AD84" s="129"/>
      <c r="AE84" s="129"/>
      <c r="AF84" s="129"/>
      <c r="AG84" s="129"/>
      <c r="AH84" s="129"/>
      <c r="AI84" s="129"/>
      <c r="AJ84" s="129"/>
      <c r="AK84" s="129"/>
      <c r="AL84" s="129"/>
      <c r="AM84" s="129"/>
      <c r="AN84" s="129"/>
      <c r="AO84" s="129"/>
      <c r="AP84" s="10"/>
      <c r="AQ84" s="132">
        <f>VLOOKUP(A84,'Main Data File'!$C$4:$U$146,10,FALSE)</f>
        <v>7995</v>
      </c>
      <c r="AR84" s="133" t="e">
        <f>VLOOKUP(A84,#REF!,44,FALSE)</f>
        <v>#REF!</v>
      </c>
      <c r="AS84" s="133" t="e">
        <f>VLOOKUP(A84,#REF!,24,FALSE)</f>
        <v>#REF!</v>
      </c>
      <c r="AT84" s="129"/>
      <c r="AU84" s="134" t="e">
        <f t="shared" si="1"/>
        <v>#REF!</v>
      </c>
      <c r="AV84" s="139"/>
      <c r="AW84" s="133" t="e">
        <f>VLOOKUP(A84,#REF!,25,FALSE)</f>
        <v>#REF!</v>
      </c>
      <c r="AX84" s="133" t="str">
        <f>VLOOKUP(A84,'Lowe''s final SKU list'!$C$2:$Q$99,2,FALSE)</f>
        <v>YES</v>
      </c>
      <c r="AY84" s="135" t="str">
        <f>VLOOKUP(A84,'Main Data File'!$C$4:$U$146,16,FALSE)</f>
        <v>x</v>
      </c>
      <c r="AZ84" s="135" t="str">
        <f>VLOOKUP(A84,'Main Data File'!$C$4:$U$146,13,FALSE)</f>
        <v>x</v>
      </c>
      <c r="BA84" s="135">
        <f>VLOOKUP(A84,'Main Data File'!$C$4:$U$146,14,FALSE)</f>
        <v>0</v>
      </c>
      <c r="BB84" s="135" t="str">
        <f>VLOOKUP(A84,'Main Data File'!$C$4:$U$146,15,FALSE)</f>
        <v>x</v>
      </c>
    </row>
    <row r="85" spans="1:54" ht="54" customHeight="1">
      <c r="A85" s="16" t="s">
        <v>154</v>
      </c>
      <c r="B85" s="16" t="str">
        <f>VLOOKUP(A85,'Main Data File'!$C$4:$U$146,19,FALSE)</f>
        <v>Boyd</v>
      </c>
      <c r="C85" s="16"/>
      <c r="D85" s="16"/>
      <c r="E85" s="129"/>
      <c r="F85" s="129" t="s">
        <v>1457</v>
      </c>
      <c r="G85" s="130" t="str">
        <f>VLOOKUP(A85,'Main Data File'!$C$4:$U$146,17,FALSE)</f>
        <v>RV-801B</v>
      </c>
      <c r="H85" s="129"/>
      <c r="I85" s="12" t="str">
        <f>VLOOKUP(A85,'Main Data File'!$C$4:$U$146,2,FALSE)</f>
        <v>12" Male RV Electrical Hook-Up Cord</v>
      </c>
      <c r="J85" s="12" t="str">
        <f>VLOOKUP(A85,'Main Data File'!$C$4:$U$146,18,FALSE)</f>
        <v>Modify USH instructions</v>
      </c>
      <c r="K85" s="129" t="s">
        <v>71</v>
      </c>
      <c r="L85" s="129"/>
      <c r="M85" s="129"/>
      <c r="N85" s="129"/>
      <c r="O85" s="129">
        <f>VLOOKUP(A85,'Main Data File'!$C$4:$U$146,3,FALSE)</f>
        <v>9.5</v>
      </c>
      <c r="P85" s="129">
        <f>VLOOKUP(A85,'Main Data File'!$C$4:$U$146,5,FALSE)</f>
        <v>2</v>
      </c>
      <c r="Q85" s="129">
        <f>VLOOKUP(A85,'Main Data File'!$C$4:$U$146,4,FALSE)</f>
        <v>5</v>
      </c>
      <c r="R85" s="129">
        <f>VLOOKUP(A85,'Main Data File'!$C$4:$U$146,6,FALSE)</f>
        <v>0.6</v>
      </c>
      <c r="S85" s="131">
        <f>VLOOKUP(A85,'Main Data File'!$C$4:$U$146,7,FALSE)</f>
        <v>5.4976851851851853E-2</v>
      </c>
      <c r="T85" s="129" t="str">
        <f>VLOOKUP(A85,'Main Data File'!$C$4:$U$146,8,FALSE)</f>
        <v>Bagged</v>
      </c>
      <c r="U85" s="129"/>
      <c r="V85" s="129"/>
      <c r="W85" s="129"/>
      <c r="X85" s="129"/>
      <c r="Y85" s="129"/>
      <c r="Z85" s="129"/>
      <c r="AA85" s="129"/>
      <c r="AB85" s="129"/>
      <c r="AC85" s="129"/>
      <c r="AD85" s="129"/>
      <c r="AE85" s="129"/>
      <c r="AF85" s="129"/>
      <c r="AG85" s="129"/>
      <c r="AH85" s="129"/>
      <c r="AI85" s="129"/>
      <c r="AJ85" s="129"/>
      <c r="AK85" s="129"/>
      <c r="AL85" s="129"/>
      <c r="AM85" s="129"/>
      <c r="AN85" s="129"/>
      <c r="AO85" s="129"/>
      <c r="AP85" s="10"/>
      <c r="AQ85" s="132">
        <f>VLOOKUP(A85,'Main Data File'!$C$4:$U$146,10,FALSE)</f>
        <v>12792</v>
      </c>
      <c r="AR85" s="133" t="e">
        <f>VLOOKUP(A85,#REF!,44,FALSE)</f>
        <v>#REF!</v>
      </c>
      <c r="AS85" s="133" t="e">
        <f>VLOOKUP(A85,#REF!,24,FALSE)</f>
        <v>#REF!</v>
      </c>
      <c r="AT85" s="129"/>
      <c r="AU85" s="134" t="e">
        <f t="shared" si="1"/>
        <v>#REF!</v>
      </c>
      <c r="AV85" s="139"/>
      <c r="AW85" s="133" t="e">
        <f>VLOOKUP(A85,#REF!,25,FALSE)</f>
        <v>#REF!</v>
      </c>
      <c r="AX85" s="133" t="str">
        <f>VLOOKUP(A85,'Lowe''s final SKU list'!$C$2:$Q$99,2,FALSE)</f>
        <v>YES</v>
      </c>
      <c r="AY85" s="135" t="str">
        <f>VLOOKUP(A85,'Main Data File'!$C$4:$U$146,16,FALSE)</f>
        <v>x</v>
      </c>
      <c r="AZ85" s="135" t="str">
        <f>VLOOKUP(A85,'Main Data File'!$C$4:$U$146,13,FALSE)</f>
        <v>x</v>
      </c>
      <c r="BA85" s="135">
        <f>VLOOKUP(A85,'Main Data File'!$C$4:$U$146,14,FALSE)</f>
        <v>0</v>
      </c>
      <c r="BB85" s="135" t="str">
        <f>VLOOKUP(A85,'Main Data File'!$C$4:$U$146,15,FALSE)</f>
        <v>x</v>
      </c>
    </row>
    <row r="86" spans="1:54" ht="54" customHeight="1">
      <c r="A86" s="16" t="s">
        <v>155</v>
      </c>
      <c r="B86" s="16" t="str">
        <f>VLOOKUP(A86,'Main Data File'!$C$4:$U$146,19,FALSE)</f>
        <v>Boyd</v>
      </c>
      <c r="C86" s="16"/>
      <c r="D86" s="16"/>
      <c r="E86" s="129"/>
      <c r="F86" s="129" t="s">
        <v>1458</v>
      </c>
      <c r="G86" s="130" t="str">
        <f>VLOOKUP(A86,'Main Data File'!$C$4:$U$146,17,FALSE)</f>
        <v>RV-802B</v>
      </c>
      <c r="H86" s="129"/>
      <c r="I86" s="12" t="str">
        <f>VLOOKUP(A86,'Main Data File'!$C$4:$U$146,2,FALSE)</f>
        <v>12" Female RV Electrical Hook-Up Cord</v>
      </c>
      <c r="J86" s="12" t="str">
        <f>VLOOKUP(A86,'Main Data File'!$C$4:$U$146,18,FALSE)</f>
        <v>Modify USH instructions</v>
      </c>
      <c r="K86" s="129" t="s">
        <v>71</v>
      </c>
      <c r="L86" s="129"/>
      <c r="M86" s="129"/>
      <c r="N86" s="129"/>
      <c r="O86" s="129">
        <f>VLOOKUP(A86,'Main Data File'!$C$4:$U$146,3,FALSE)</f>
        <v>9.5</v>
      </c>
      <c r="P86" s="129">
        <f>VLOOKUP(A86,'Main Data File'!$C$4:$U$146,5,FALSE)</f>
        <v>2</v>
      </c>
      <c r="Q86" s="129">
        <f>VLOOKUP(A86,'Main Data File'!$C$4:$U$146,4,FALSE)</f>
        <v>5</v>
      </c>
      <c r="R86" s="129">
        <f>VLOOKUP(A86,'Main Data File'!$C$4:$U$146,6,FALSE)</f>
        <v>0.6</v>
      </c>
      <c r="S86" s="131">
        <f>VLOOKUP(A86,'Main Data File'!$C$4:$U$146,7,FALSE)</f>
        <v>5.4976851851851853E-2</v>
      </c>
      <c r="T86" s="129" t="str">
        <f>VLOOKUP(A86,'Main Data File'!$C$4:$U$146,8,FALSE)</f>
        <v>Bagged</v>
      </c>
      <c r="U86" s="129"/>
      <c r="V86" s="129"/>
      <c r="W86" s="129"/>
      <c r="X86" s="129"/>
      <c r="Y86" s="129"/>
      <c r="Z86" s="129"/>
      <c r="AA86" s="129"/>
      <c r="AB86" s="129"/>
      <c r="AC86" s="129"/>
      <c r="AD86" s="129"/>
      <c r="AE86" s="129"/>
      <c r="AF86" s="129"/>
      <c r="AG86" s="129"/>
      <c r="AH86" s="129"/>
      <c r="AI86" s="129"/>
      <c r="AJ86" s="129"/>
      <c r="AK86" s="129"/>
      <c r="AL86" s="129"/>
      <c r="AM86" s="129"/>
      <c r="AN86" s="129"/>
      <c r="AO86" s="129"/>
      <c r="AP86" s="10"/>
      <c r="AQ86" s="132">
        <f>VLOOKUP(A86,'Main Data File'!$C$4:$U$146,10,FALSE)</f>
        <v>7995</v>
      </c>
      <c r="AR86" s="133" t="e">
        <f>VLOOKUP(A86,#REF!,44,FALSE)</f>
        <v>#REF!</v>
      </c>
      <c r="AS86" s="133" t="e">
        <f>VLOOKUP(A86,#REF!,24,FALSE)</f>
        <v>#REF!</v>
      </c>
      <c r="AT86" s="129"/>
      <c r="AU86" s="134" t="e">
        <f t="shared" si="1"/>
        <v>#REF!</v>
      </c>
      <c r="AV86" s="139"/>
      <c r="AW86" s="133" t="e">
        <f>VLOOKUP(A86,#REF!,25,FALSE)</f>
        <v>#REF!</v>
      </c>
      <c r="AX86" s="133" t="str">
        <f>VLOOKUP(A86,'Lowe''s final SKU list'!$C$2:$Q$99,2,FALSE)</f>
        <v>YES</v>
      </c>
      <c r="AY86" s="135" t="str">
        <f>VLOOKUP(A86,'Main Data File'!$C$4:$U$146,16,FALSE)</f>
        <v>x</v>
      </c>
      <c r="AZ86" s="135" t="str">
        <f>VLOOKUP(A86,'Main Data File'!$C$4:$U$146,13,FALSE)</f>
        <v>x</v>
      </c>
      <c r="BA86" s="135">
        <f>VLOOKUP(A86,'Main Data File'!$C$4:$U$146,14,FALSE)</f>
        <v>0</v>
      </c>
      <c r="BB86" s="135" t="str">
        <f>VLOOKUP(A86,'Main Data File'!$C$4:$U$146,15,FALSE)</f>
        <v>x</v>
      </c>
    </row>
    <row r="87" spans="1:54" ht="54" customHeight="1">
      <c r="A87" s="16" t="s">
        <v>156</v>
      </c>
      <c r="B87" s="16" t="str">
        <f>VLOOKUP(A87,'Main Data File'!$C$4:$U$146,19,FALSE)</f>
        <v>Andy</v>
      </c>
      <c r="C87" s="16"/>
      <c r="D87" s="16"/>
      <c r="E87" s="129"/>
      <c r="F87" s="129" t="s">
        <v>1459</v>
      </c>
      <c r="G87" s="130" t="str">
        <f>VLOOKUP(A87,'Main Data File'!$C$4:$U$146,17,FALSE)</f>
        <v>C1795CH</v>
      </c>
      <c r="H87" s="129"/>
      <c r="I87" s="12" t="str">
        <f>VLOOKUP(A87,'Main Data File'!$C$4:$U$146,2,FALSE)</f>
        <v>3J-1HC Plastic/Brass Streamway Stem Hot/Cold</v>
      </c>
      <c r="J87" s="12" t="str">
        <f>VLOOKUP(A87,'Main Data File'!$C$4:$U$146,18,FALSE)</f>
        <v>Use back of World and Main card</v>
      </c>
      <c r="K87" s="129" t="s">
        <v>71</v>
      </c>
      <c r="L87" s="129"/>
      <c r="M87" s="129"/>
      <c r="N87" s="129"/>
      <c r="O87" s="129">
        <f>VLOOKUP(A87,'Main Data File'!$C$4:$U$146,3,FALSE)</f>
        <v>5.7</v>
      </c>
      <c r="P87" s="129">
        <f>VLOOKUP(A87,'Main Data File'!$C$4:$U$146,5,FALSE)</f>
        <v>1.5</v>
      </c>
      <c r="Q87" s="129">
        <f>VLOOKUP(A87,'Main Data File'!$C$4:$U$146,4,FALSE)</f>
        <v>3.65</v>
      </c>
      <c r="R87" s="129">
        <f>VLOOKUP(A87,'Main Data File'!$C$4:$U$146,6,FALSE)</f>
        <v>0.1</v>
      </c>
      <c r="S87" s="131">
        <f>VLOOKUP(A87,'Main Data File'!$C$4:$U$146,7,FALSE)</f>
        <v>1.8059895833333332E-2</v>
      </c>
      <c r="T87" s="129" t="str">
        <f>VLOOKUP(A87,'Main Data File'!$C$4:$U$146,8,FALSE)</f>
        <v>Heat Formed Plastic</v>
      </c>
      <c r="U87" s="129"/>
      <c r="V87" s="129"/>
      <c r="W87" s="129"/>
      <c r="X87" s="129"/>
      <c r="Y87" s="129"/>
      <c r="Z87" s="129"/>
      <c r="AA87" s="129"/>
      <c r="AB87" s="129"/>
      <c r="AC87" s="129"/>
      <c r="AD87" s="129"/>
      <c r="AE87" s="129"/>
      <c r="AF87" s="129"/>
      <c r="AG87" s="129"/>
      <c r="AH87" s="129"/>
      <c r="AI87" s="129"/>
      <c r="AJ87" s="129"/>
      <c r="AK87" s="129"/>
      <c r="AL87" s="129"/>
      <c r="AM87" s="129"/>
      <c r="AN87" s="129"/>
      <c r="AO87" s="129"/>
      <c r="AP87" s="10"/>
      <c r="AQ87" s="132">
        <f>VLOOKUP(A87,'Main Data File'!$C$4:$U$146,10,FALSE)</f>
        <v>340.00000000000006</v>
      </c>
      <c r="AR87" s="133" t="e">
        <f>VLOOKUP(A87,#REF!,44,FALSE)</f>
        <v>#REF!</v>
      </c>
      <c r="AS87" s="133" t="e">
        <f>VLOOKUP(A87,#REF!,24,FALSE)</f>
        <v>#REF!</v>
      </c>
      <c r="AT87" s="129"/>
      <c r="AU87" s="134" t="e">
        <f t="shared" si="1"/>
        <v>#REF!</v>
      </c>
      <c r="AV87" s="139"/>
      <c r="AW87" s="133" t="e">
        <f>VLOOKUP(A87,#REF!,25,FALSE)</f>
        <v>#REF!</v>
      </c>
      <c r="AX87" s="133" t="str">
        <f>VLOOKUP(A87,'Lowe''s final SKU list'!$C$2:$Q$99,2,FALSE)</f>
        <v>YES</v>
      </c>
      <c r="AY87" s="135" t="str">
        <f>VLOOKUP(A87,'Main Data File'!$C$4:$U$146,16,FALSE)</f>
        <v>x</v>
      </c>
      <c r="AZ87" s="135">
        <f>VLOOKUP(A87,'Main Data File'!$C$4:$U$146,13,FALSE)</f>
        <v>0</v>
      </c>
      <c r="BA87" s="135">
        <f>VLOOKUP(A87,'Main Data File'!$C$4:$U$146,14,FALSE)</f>
        <v>0</v>
      </c>
      <c r="BB87" s="135">
        <f>VLOOKUP(A87,'Main Data File'!$C$4:$U$146,15,FALSE)</f>
        <v>0</v>
      </c>
    </row>
    <row r="88" spans="1:54" ht="54" customHeight="1">
      <c r="A88" s="16" t="s">
        <v>157</v>
      </c>
      <c r="B88" s="16" t="str">
        <f>VLOOKUP(A88,'Main Data File'!$C$4:$U$146,19,FALSE)</f>
        <v>Andy</v>
      </c>
      <c r="C88" s="16"/>
      <c r="D88" s="16"/>
      <c r="E88" s="129"/>
      <c r="F88" s="129" t="e">
        <v>#N/A</v>
      </c>
      <c r="G88" s="130" t="str">
        <f>VLOOKUP(A88,'Main Data File'!$C$4:$U$146,17,FALSE)</f>
        <v>C1066HC</v>
      </c>
      <c r="H88" s="129"/>
      <c r="I88" s="12" t="str">
        <f>VLOOKUP(A88,'Main Data File'!$C$4:$U$146,2,FALSE)</f>
        <v>3J-3HC Plastic BPC/Bristol Stem Hot/Cold</v>
      </c>
      <c r="J88" s="12" t="str">
        <f>VLOOKUP(A88,'Main Data File'!$C$4:$U$146,18,FALSE)</f>
        <v>See RVP099.</v>
      </c>
      <c r="K88" s="129" t="s">
        <v>71</v>
      </c>
      <c r="L88" s="129"/>
      <c r="M88" s="129"/>
      <c r="N88" s="129"/>
      <c r="O88" s="129">
        <f>VLOOKUP(A88,'Main Data File'!$C$4:$U$146,3,FALSE)</f>
        <v>5.7</v>
      </c>
      <c r="P88" s="129">
        <f>VLOOKUP(A88,'Main Data File'!$C$4:$U$146,5,FALSE)</f>
        <v>1.5</v>
      </c>
      <c r="Q88" s="129">
        <f>VLOOKUP(A88,'Main Data File'!$C$4:$U$146,4,FALSE)</f>
        <v>3.65</v>
      </c>
      <c r="R88" s="129">
        <f>VLOOKUP(A88,'Main Data File'!$C$4:$U$146,6,FALSE)</f>
        <v>0.04</v>
      </c>
      <c r="S88" s="131">
        <f>VLOOKUP(A88,'Main Data File'!$C$4:$U$146,7,FALSE)</f>
        <v>1.8059895833333332E-2</v>
      </c>
      <c r="T88" s="129" t="str">
        <f>VLOOKUP(A88,'Main Data File'!$C$4:$U$146,8,FALSE)</f>
        <v>Heat Formed Plastic</v>
      </c>
      <c r="U88" s="129"/>
      <c r="V88" s="129"/>
      <c r="W88" s="129"/>
      <c r="X88" s="129"/>
      <c r="Y88" s="129"/>
      <c r="Z88" s="129"/>
      <c r="AA88" s="129"/>
      <c r="AB88" s="129"/>
      <c r="AC88" s="129"/>
      <c r="AD88" s="129"/>
      <c r="AE88" s="129"/>
      <c r="AF88" s="129"/>
      <c r="AG88" s="129"/>
      <c r="AH88" s="129"/>
      <c r="AI88" s="129"/>
      <c r="AJ88" s="129"/>
      <c r="AK88" s="129"/>
      <c r="AL88" s="129"/>
      <c r="AM88" s="129"/>
      <c r="AN88" s="129"/>
      <c r="AO88" s="129"/>
      <c r="AP88" s="10"/>
      <c r="AQ88" s="132">
        <f>VLOOKUP(A88,'Main Data File'!$C$4:$U$146,10,FALSE)</f>
        <v>12005</v>
      </c>
      <c r="AR88" s="133" t="e">
        <f>VLOOKUP(A88,#REF!,44,FALSE)</f>
        <v>#REF!</v>
      </c>
      <c r="AS88" s="133" t="e">
        <f>VLOOKUP(A88,#REF!,24,FALSE)</f>
        <v>#REF!</v>
      </c>
      <c r="AT88" s="129"/>
      <c r="AU88" s="134" t="e">
        <f t="shared" si="1"/>
        <v>#REF!</v>
      </c>
      <c r="AV88" s="139"/>
      <c r="AW88" s="133" t="e">
        <f>VLOOKUP(A88,#REF!,25,FALSE)</f>
        <v>#REF!</v>
      </c>
      <c r="AX88" s="133" t="str">
        <f>VLOOKUP(A88,'Lowe''s final SKU list'!$C$2:$Q$99,2,FALSE)</f>
        <v>YES</v>
      </c>
      <c r="AY88" s="135" t="str">
        <f>VLOOKUP(A88,'Main Data File'!$C$4:$U$146,16,FALSE)</f>
        <v>x</v>
      </c>
      <c r="AZ88" s="135" t="str">
        <f>VLOOKUP(A88,'Main Data File'!$C$4:$U$146,13,FALSE)</f>
        <v>x</v>
      </c>
      <c r="BA88" s="135" t="str">
        <f>VLOOKUP(A88,'Main Data File'!$C$4:$U$146,14,FALSE)</f>
        <v>x</v>
      </c>
      <c r="BB88" s="135" t="str">
        <f>VLOOKUP(A88,'Main Data File'!$C$4:$U$146,15,FALSE)</f>
        <v>x</v>
      </c>
    </row>
    <row r="89" spans="1:54" ht="54" customHeight="1">
      <c r="A89" s="16" t="s">
        <v>158</v>
      </c>
      <c r="B89" s="16" t="str">
        <f>VLOOKUP(A89,'Main Data File'!$C$4:$U$146,19,FALSE)</f>
        <v>Andy</v>
      </c>
      <c r="C89" s="16"/>
      <c r="D89" s="16"/>
      <c r="E89" s="129"/>
      <c r="F89" s="129" t="s">
        <v>1460</v>
      </c>
      <c r="G89" s="130" t="str">
        <f>VLOOKUP(A89,'Main Data File'!$C$4:$U$146,17,FALSE)</f>
        <v>C1791H</v>
      </c>
      <c r="H89" s="129"/>
      <c r="I89" s="12" t="str">
        <f>VLOOKUP(A89,'Main Data File'!$C$4:$U$146,2,FALSE)</f>
        <v>2J-6H Brass Streamway Stem Hot</v>
      </c>
      <c r="J89" s="12" t="str">
        <f>VLOOKUP(A89,'Main Data File'!$C$4:$U$146,18,FALSE)</f>
        <v>Use back of World and Main card</v>
      </c>
      <c r="K89" s="129" t="s">
        <v>71</v>
      </c>
      <c r="L89" s="129"/>
      <c r="M89" s="129"/>
      <c r="N89" s="129"/>
      <c r="O89" s="129">
        <f>VLOOKUP(A89,'Main Data File'!$C$4:$U$146,3,FALSE)</f>
        <v>5.7</v>
      </c>
      <c r="P89" s="129">
        <f>VLOOKUP(A89,'Main Data File'!$C$4:$U$146,5,FALSE)</f>
        <v>1.5</v>
      </c>
      <c r="Q89" s="129">
        <f>VLOOKUP(A89,'Main Data File'!$C$4:$U$146,4,FALSE)</f>
        <v>3.65</v>
      </c>
      <c r="R89" s="129">
        <f>VLOOKUP(A89,'Main Data File'!$C$4:$U$146,6,FALSE)</f>
        <v>0.2</v>
      </c>
      <c r="S89" s="131">
        <f>VLOOKUP(A89,'Main Data File'!$C$4:$U$146,7,FALSE)</f>
        <v>1.8059895833333332E-2</v>
      </c>
      <c r="T89" s="129" t="str">
        <f>VLOOKUP(A89,'Main Data File'!$C$4:$U$146,8,FALSE)</f>
        <v>Heat Formed Plastic</v>
      </c>
      <c r="U89" s="129"/>
      <c r="V89" s="129"/>
      <c r="W89" s="129"/>
      <c r="X89" s="129"/>
      <c r="Y89" s="129"/>
      <c r="Z89" s="129"/>
      <c r="AA89" s="129"/>
      <c r="AB89" s="129"/>
      <c r="AC89" s="129"/>
      <c r="AD89" s="129"/>
      <c r="AE89" s="129"/>
      <c r="AF89" s="129"/>
      <c r="AG89" s="129"/>
      <c r="AH89" s="129"/>
      <c r="AI89" s="129"/>
      <c r="AJ89" s="129"/>
      <c r="AK89" s="129"/>
      <c r="AL89" s="129"/>
      <c r="AM89" s="129"/>
      <c r="AN89" s="129"/>
      <c r="AO89" s="129"/>
      <c r="AP89" s="10"/>
      <c r="AQ89" s="132">
        <f>VLOOKUP(A89,'Main Data File'!$C$4:$U$146,10,FALSE)</f>
        <v>340.00000000000006</v>
      </c>
      <c r="AR89" s="133" t="e">
        <f>VLOOKUP(A89,#REF!,44,FALSE)</f>
        <v>#REF!</v>
      </c>
      <c r="AS89" s="133" t="e">
        <f>VLOOKUP(A89,#REF!,24,FALSE)</f>
        <v>#REF!</v>
      </c>
      <c r="AT89" s="129"/>
      <c r="AU89" s="134" t="e">
        <f t="shared" si="1"/>
        <v>#REF!</v>
      </c>
      <c r="AV89" s="139"/>
      <c r="AW89" s="133" t="e">
        <f>VLOOKUP(A89,#REF!,25,FALSE)</f>
        <v>#REF!</v>
      </c>
      <c r="AX89" s="133" t="str">
        <f>VLOOKUP(A89,'Lowe''s final SKU list'!$C$2:$Q$99,2,FALSE)</f>
        <v>YES</v>
      </c>
      <c r="AY89" s="135" t="str">
        <f>VLOOKUP(A89,'Main Data File'!$C$4:$U$146,16,FALSE)</f>
        <v>x</v>
      </c>
      <c r="AZ89" s="135">
        <f>VLOOKUP(A89,'Main Data File'!$C$4:$U$146,13,FALSE)</f>
        <v>0</v>
      </c>
      <c r="BA89" s="135">
        <f>VLOOKUP(A89,'Main Data File'!$C$4:$U$146,14,FALSE)</f>
        <v>0</v>
      </c>
      <c r="BB89" s="135">
        <f>VLOOKUP(A89,'Main Data File'!$C$4:$U$146,15,FALSE)</f>
        <v>0</v>
      </c>
    </row>
    <row r="90" spans="1:54" ht="54" customHeight="1">
      <c r="A90" s="16" t="s">
        <v>159</v>
      </c>
      <c r="B90" s="16" t="str">
        <f>VLOOKUP(A90,'Main Data File'!$C$4:$U$146,19,FALSE)</f>
        <v>Andy</v>
      </c>
      <c r="C90" s="16"/>
      <c r="D90" s="16"/>
      <c r="E90" s="129"/>
      <c r="F90" s="129" t="s">
        <v>1461</v>
      </c>
      <c r="G90" s="130" t="str">
        <f>VLOOKUP(A90,'Main Data File'!$C$4:$U$146,17,FALSE)</f>
        <v>C1791C</v>
      </c>
      <c r="H90" s="129"/>
      <c r="I90" s="12" t="str">
        <f>VLOOKUP(A90,'Main Data File'!$C$4:$U$146,2,FALSE)</f>
        <v>2J-6C Brass Streamway Stem Cold</v>
      </c>
      <c r="J90" s="12" t="str">
        <f>VLOOKUP(A90,'Main Data File'!$C$4:$U$146,18,FALSE)</f>
        <v>Use back of World and Main card</v>
      </c>
      <c r="K90" s="129" t="s">
        <v>71</v>
      </c>
      <c r="L90" s="129"/>
      <c r="M90" s="129"/>
      <c r="N90" s="129"/>
      <c r="O90" s="129">
        <f>VLOOKUP(A90,'Main Data File'!$C$4:$U$146,3,FALSE)</f>
        <v>5.7</v>
      </c>
      <c r="P90" s="129">
        <f>VLOOKUP(A90,'Main Data File'!$C$4:$U$146,5,FALSE)</f>
        <v>1.5</v>
      </c>
      <c r="Q90" s="129">
        <f>VLOOKUP(A90,'Main Data File'!$C$4:$U$146,4,FALSE)</f>
        <v>3.65</v>
      </c>
      <c r="R90" s="129">
        <f>VLOOKUP(A90,'Main Data File'!$C$4:$U$146,6,FALSE)</f>
        <v>0.2</v>
      </c>
      <c r="S90" s="131">
        <f>VLOOKUP(A90,'Main Data File'!$C$4:$U$146,7,FALSE)</f>
        <v>1.8059895833333332E-2</v>
      </c>
      <c r="T90" s="129" t="str">
        <f>VLOOKUP(A90,'Main Data File'!$C$4:$U$146,8,FALSE)</f>
        <v>Heat Formed Plastic</v>
      </c>
      <c r="U90" s="129"/>
      <c r="V90" s="129"/>
      <c r="W90" s="129"/>
      <c r="X90" s="129"/>
      <c r="Y90" s="129"/>
      <c r="Z90" s="129"/>
      <c r="AA90" s="129"/>
      <c r="AB90" s="129"/>
      <c r="AC90" s="129"/>
      <c r="AD90" s="129"/>
      <c r="AE90" s="129"/>
      <c r="AF90" s="129"/>
      <c r="AG90" s="129"/>
      <c r="AH90" s="129"/>
      <c r="AI90" s="129"/>
      <c r="AJ90" s="129"/>
      <c r="AK90" s="129"/>
      <c r="AL90" s="129"/>
      <c r="AM90" s="129"/>
      <c r="AN90" s="129"/>
      <c r="AO90" s="129"/>
      <c r="AP90" s="10"/>
      <c r="AQ90" s="132">
        <f>VLOOKUP(A90,'Main Data File'!$C$4:$U$146,10,FALSE)</f>
        <v>340.00000000000006</v>
      </c>
      <c r="AR90" s="133" t="e">
        <f>VLOOKUP(A90,#REF!,44,FALSE)</f>
        <v>#REF!</v>
      </c>
      <c r="AS90" s="133" t="e">
        <f>VLOOKUP(A90,#REF!,24,FALSE)</f>
        <v>#REF!</v>
      </c>
      <c r="AT90" s="129"/>
      <c r="AU90" s="134" t="e">
        <f t="shared" si="1"/>
        <v>#REF!</v>
      </c>
      <c r="AV90" s="139"/>
      <c r="AW90" s="133" t="e">
        <f>VLOOKUP(A90,#REF!,25,FALSE)</f>
        <v>#REF!</v>
      </c>
      <c r="AX90" s="133" t="str">
        <f>VLOOKUP(A90,'Lowe''s final SKU list'!$C$2:$Q$99,2,FALSE)</f>
        <v>YES</v>
      </c>
      <c r="AY90" s="135" t="str">
        <f>VLOOKUP(A90,'Main Data File'!$C$4:$U$146,16,FALSE)</f>
        <v>x</v>
      </c>
      <c r="AZ90" s="135">
        <f>VLOOKUP(A90,'Main Data File'!$C$4:$U$146,13,FALSE)</f>
        <v>0</v>
      </c>
      <c r="BA90" s="135">
        <f>VLOOKUP(A90,'Main Data File'!$C$4:$U$146,14,FALSE)</f>
        <v>0</v>
      </c>
      <c r="BB90" s="135">
        <f>VLOOKUP(A90,'Main Data File'!$C$4:$U$146,15,FALSE)</f>
        <v>0</v>
      </c>
    </row>
    <row r="91" spans="1:54" ht="54" customHeight="1">
      <c r="A91" s="16" t="s">
        <v>160</v>
      </c>
      <c r="B91" s="16" t="str">
        <f>VLOOKUP(A91,'Main Data File'!$C$4:$U$146,19,FALSE)</f>
        <v>Andy</v>
      </c>
      <c r="C91" s="16"/>
      <c r="D91" s="16"/>
      <c r="E91" s="129"/>
      <c r="F91" s="129" t="s">
        <v>1462</v>
      </c>
      <c r="G91" s="130" t="str">
        <f>VLOOKUP(A91,'Main Data File'!$C$4:$U$146,17,FALSE)</f>
        <v>C426</v>
      </c>
      <c r="H91" s="129"/>
      <c r="I91" s="12" t="str">
        <f>VLOOKUP(A91,'Main Data File'!$C$4:$U$146,2,FALSE)</f>
        <v>CP Handles For Streamway</v>
      </c>
      <c r="J91" s="12" t="str">
        <f>VLOOKUP(A91,'Main Data File'!$C$4:$U$146,18,FALSE)</f>
        <v>Use back of World and Main card</v>
      </c>
      <c r="K91" s="129" t="s">
        <v>71</v>
      </c>
      <c r="L91" s="129"/>
      <c r="M91" s="129"/>
      <c r="N91" s="129"/>
      <c r="O91" s="129">
        <f>VLOOKUP(A91,'Main Data File'!$C$4:$U$146,3,FALSE)</f>
        <v>5.7</v>
      </c>
      <c r="P91" s="129">
        <f>VLOOKUP(A91,'Main Data File'!$C$4:$U$146,5,FALSE)</f>
        <v>1.5</v>
      </c>
      <c r="Q91" s="129">
        <f>VLOOKUP(A91,'Main Data File'!$C$4:$U$146,4,FALSE)</f>
        <v>3.65</v>
      </c>
      <c r="R91" s="129">
        <f>VLOOKUP(A91,'Main Data File'!$C$4:$U$146,6,FALSE)</f>
        <v>0.4</v>
      </c>
      <c r="S91" s="131">
        <f>VLOOKUP(A91,'Main Data File'!$C$4:$U$146,7,FALSE)</f>
        <v>1.8059895833333332E-2</v>
      </c>
      <c r="T91" s="129" t="str">
        <f>VLOOKUP(A91,'Main Data File'!$C$4:$U$146,8,FALSE)</f>
        <v>Heat Formed Plastic</v>
      </c>
      <c r="U91" s="129"/>
      <c r="V91" s="129"/>
      <c r="W91" s="129"/>
      <c r="X91" s="129"/>
      <c r="Y91" s="129"/>
      <c r="Z91" s="129"/>
      <c r="AA91" s="129"/>
      <c r="AB91" s="129"/>
      <c r="AC91" s="129"/>
      <c r="AD91" s="129"/>
      <c r="AE91" s="129"/>
      <c r="AF91" s="129"/>
      <c r="AG91" s="129"/>
      <c r="AH91" s="129"/>
      <c r="AI91" s="129"/>
      <c r="AJ91" s="129"/>
      <c r="AK91" s="129"/>
      <c r="AL91" s="129"/>
      <c r="AM91" s="129"/>
      <c r="AN91" s="129"/>
      <c r="AO91" s="129"/>
      <c r="AP91" s="10"/>
      <c r="AQ91" s="132">
        <f>VLOOKUP(A91,'Main Data File'!$C$4:$U$146,10,FALSE)</f>
        <v>920</v>
      </c>
      <c r="AR91" s="133" t="e">
        <f>VLOOKUP(A91,#REF!,44,FALSE)</f>
        <v>#REF!</v>
      </c>
      <c r="AS91" s="133" t="e">
        <f>VLOOKUP(A91,#REF!,24,FALSE)</f>
        <v>#REF!</v>
      </c>
      <c r="AT91" s="129"/>
      <c r="AU91" s="134" t="e">
        <f t="shared" si="1"/>
        <v>#REF!</v>
      </c>
      <c r="AV91" s="139"/>
      <c r="AW91" s="133" t="e">
        <f>VLOOKUP(A91,#REF!,25,FALSE)</f>
        <v>#REF!</v>
      </c>
      <c r="AX91" s="133" t="str">
        <f>VLOOKUP(A91,'Lowe''s final SKU list'!$C$2:$Q$99,2,FALSE)</f>
        <v>YES</v>
      </c>
      <c r="AY91" s="135" t="str">
        <f>VLOOKUP(A91,'Main Data File'!$C$4:$U$146,16,FALSE)</f>
        <v>x</v>
      </c>
      <c r="AZ91" s="135">
        <f>VLOOKUP(A91,'Main Data File'!$C$4:$U$146,13,FALSE)</f>
        <v>0</v>
      </c>
      <c r="BA91" s="135" t="str">
        <f>VLOOKUP(A91,'Main Data File'!$C$4:$U$146,14,FALSE)</f>
        <v>x</v>
      </c>
      <c r="BB91" s="135">
        <f>VLOOKUP(A91,'Main Data File'!$C$4:$U$146,15,FALSE)</f>
        <v>0</v>
      </c>
    </row>
    <row r="92" spans="1:54" ht="54" customHeight="1">
      <c r="A92" s="16" t="s">
        <v>161</v>
      </c>
      <c r="B92" s="16" t="str">
        <f>VLOOKUP(A92,'Main Data File'!$C$4:$U$146,19,FALSE)</f>
        <v>Andy</v>
      </c>
      <c r="C92" s="16"/>
      <c r="D92" s="16"/>
      <c r="E92" s="129"/>
      <c r="F92" s="129" t="s">
        <v>1463</v>
      </c>
      <c r="G92" s="130" t="str">
        <f>VLOOKUP(A92,'Main Data File'!$C$4:$U$146,17,FALSE)</f>
        <v>0260</v>
      </c>
      <c r="H92" s="129"/>
      <c r="I92" s="12" t="str">
        <f>VLOOKUP(A92,'Main Data File'!$C$4:$U$146,2,FALSE)</f>
        <v>White Plastic Shower Head</v>
      </c>
      <c r="J92" s="12" t="str">
        <f>VLOOKUP(A92,'Main Data File'!$C$4:$U$146,18,FALSE)</f>
        <v>See RVP115.</v>
      </c>
      <c r="K92" s="129" t="s">
        <v>71</v>
      </c>
      <c r="L92" s="129"/>
      <c r="M92" s="129"/>
      <c r="N92" s="129"/>
      <c r="O92" s="129">
        <f>VLOOKUP(A92,'Main Data File'!$C$4:$U$146,3,FALSE)</f>
        <v>5.7</v>
      </c>
      <c r="P92" s="129">
        <f>VLOOKUP(A92,'Main Data File'!$C$4:$U$146,5,FALSE)</f>
        <v>2</v>
      </c>
      <c r="Q92" s="129">
        <f>VLOOKUP(A92,'Main Data File'!$C$4:$U$146,4,FALSE)</f>
        <v>3.65</v>
      </c>
      <c r="R92" s="129">
        <f>VLOOKUP(A92,'Main Data File'!$C$4:$U$146,6,FALSE)</f>
        <v>0.1</v>
      </c>
      <c r="S92" s="131">
        <f>VLOOKUP(A92,'Main Data File'!$C$4:$U$146,7,FALSE)</f>
        <v>2.4079861111111111E-2</v>
      </c>
      <c r="T92" s="129" t="str">
        <f>VLOOKUP(A92,'Main Data File'!$C$4:$U$146,8,FALSE)</f>
        <v>Heat Formed Plastic</v>
      </c>
      <c r="U92" s="129"/>
      <c r="V92" s="129"/>
      <c r="W92" s="129"/>
      <c r="X92" s="129"/>
      <c r="Y92" s="129"/>
      <c r="Z92" s="129"/>
      <c r="AA92" s="129"/>
      <c r="AB92" s="129"/>
      <c r="AC92" s="129"/>
      <c r="AD92" s="129"/>
      <c r="AE92" s="129"/>
      <c r="AF92" s="129"/>
      <c r="AG92" s="129"/>
      <c r="AH92" s="129"/>
      <c r="AI92" s="129"/>
      <c r="AJ92" s="129"/>
      <c r="AK92" s="129"/>
      <c r="AL92" s="129"/>
      <c r="AM92" s="129"/>
      <c r="AN92" s="129"/>
      <c r="AO92" s="129"/>
      <c r="AP92" s="10"/>
      <c r="AQ92" s="132">
        <f>VLOOKUP(A92,'Main Data File'!$C$4:$U$146,10,FALSE)</f>
        <v>340.00000000000006</v>
      </c>
      <c r="AR92" s="133" t="e">
        <f>VLOOKUP(A92,#REF!,44,FALSE)</f>
        <v>#REF!</v>
      </c>
      <c r="AS92" s="133" t="e">
        <f>VLOOKUP(A92,#REF!,24,FALSE)</f>
        <v>#REF!</v>
      </c>
      <c r="AT92" s="129"/>
      <c r="AU92" s="134" t="e">
        <f t="shared" si="1"/>
        <v>#REF!</v>
      </c>
      <c r="AV92" s="139"/>
      <c r="AW92" s="133" t="e">
        <f>VLOOKUP(A92,#REF!,25,FALSE)</f>
        <v>#REF!</v>
      </c>
      <c r="AX92" s="133" t="str">
        <f>VLOOKUP(A92,'Lowe''s final SKU list'!$C$2:$Q$99,2,FALSE)</f>
        <v>YES</v>
      </c>
      <c r="AY92" s="135" t="str">
        <f>VLOOKUP(A92,'Main Data File'!$C$4:$U$146,16,FALSE)</f>
        <v>x</v>
      </c>
      <c r="AZ92" s="135">
        <f>VLOOKUP(A92,'Main Data File'!$C$4:$U$146,13,FALSE)</f>
        <v>0</v>
      </c>
      <c r="BA92" s="135">
        <f>VLOOKUP(A92,'Main Data File'!$C$4:$U$146,14,FALSE)</f>
        <v>0</v>
      </c>
      <c r="BB92" s="135">
        <f>VLOOKUP(A92,'Main Data File'!$C$4:$U$146,15,FALSE)</f>
        <v>0</v>
      </c>
    </row>
    <row r="93" spans="1:54" ht="54" hidden="1" customHeight="1">
      <c r="A93" s="16" t="s">
        <v>419</v>
      </c>
      <c r="B93" s="16" t="str">
        <f>VLOOKUP(A93,'Main Data File'!$C$4:$U$146,19,FALSE)</f>
        <v>Andy</v>
      </c>
      <c r="C93" s="16"/>
      <c r="D93" s="16"/>
      <c r="E93" s="129"/>
      <c r="F93" s="129" t="s">
        <v>1464</v>
      </c>
      <c r="G93" s="130" t="str">
        <f>VLOOKUP(A93,'Main Data File'!$C$4:$U$146,17,FALSE)</f>
        <v>V-056IB</v>
      </c>
      <c r="H93" s="129"/>
      <c r="I93" s="12" t="str">
        <f>VLOOKUP(A93,'Main Data File'!$C$4:$U$146,2,FALSE)</f>
        <v>Register 4X8 Brown Deep</v>
      </c>
      <c r="J93" s="12" t="str">
        <f>VLOOKUP(A93,'Main Data File'!$C$4:$U$146,18,FALSE)</f>
        <v>None</v>
      </c>
      <c r="K93" s="129" t="s">
        <v>71</v>
      </c>
      <c r="L93" s="129"/>
      <c r="M93" s="129"/>
      <c r="N93" s="129"/>
      <c r="O93" s="129">
        <f>VLOOKUP(A93,'Main Data File'!$C$4:$U$146,3,FALSE)</f>
        <v>8.5</v>
      </c>
      <c r="P93" s="129">
        <f>VLOOKUP(A93,'Main Data File'!$C$4:$U$146,5,FALSE)</f>
        <v>1</v>
      </c>
      <c r="Q93" s="129">
        <f>VLOOKUP(A93,'Main Data File'!$C$4:$U$146,4,FALSE)</f>
        <v>4.5</v>
      </c>
      <c r="R93" s="129">
        <f>VLOOKUP(A93,'Main Data File'!$C$4:$U$146,6,FALSE)</f>
        <v>1.1000000000000001</v>
      </c>
      <c r="S93" s="131">
        <f>VLOOKUP(A93,'Main Data File'!$C$4:$U$146,7,FALSE)</f>
        <v>2.2135416666666668E-2</v>
      </c>
      <c r="T93" s="129" t="str">
        <f>VLOOKUP(A93,'Main Data File'!$C$4:$U$146,8,FALSE)</f>
        <v>Shrink Wrap</v>
      </c>
      <c r="U93" s="129"/>
      <c r="V93" s="129"/>
      <c r="W93" s="129"/>
      <c r="X93" s="129"/>
      <c r="Y93" s="129"/>
      <c r="Z93" s="129"/>
      <c r="AA93" s="129"/>
      <c r="AB93" s="129"/>
      <c r="AC93" s="129"/>
      <c r="AD93" s="129"/>
      <c r="AE93" s="129"/>
      <c r="AF93" s="129"/>
      <c r="AG93" s="129"/>
      <c r="AH93" s="129"/>
      <c r="AI93" s="129"/>
      <c r="AJ93" s="129"/>
      <c r="AK93" s="129"/>
      <c r="AL93" s="129"/>
      <c r="AM93" s="129"/>
      <c r="AN93" s="129"/>
      <c r="AO93" s="129"/>
      <c r="AP93" s="10"/>
      <c r="AQ93" s="132">
        <f>VLOOKUP(A93,'Main Data File'!$C$4:$U$146,10,FALSE)</f>
        <v>42875</v>
      </c>
      <c r="AR93" s="133" t="e">
        <f>VLOOKUP(A93,#REF!,44,FALSE)</f>
        <v>#REF!</v>
      </c>
      <c r="AS93" s="133" t="e">
        <f>VLOOKUP(A93,#REF!,24,FALSE)</f>
        <v>#REF!</v>
      </c>
      <c r="AT93" s="129"/>
      <c r="AU93" s="134" t="e">
        <f t="shared" si="1"/>
        <v>#REF!</v>
      </c>
      <c r="AV93" s="139"/>
      <c r="AW93" s="133" t="e">
        <f>VLOOKUP(A93,#REF!,25,FALSE)</f>
        <v>#REF!</v>
      </c>
      <c r="AX93" s="133" t="e">
        <f>VLOOKUP(A93,'Lowe''s final SKU list'!$C$2:$Q$99,2,FALSE)</f>
        <v>#N/A</v>
      </c>
      <c r="AY93" s="135">
        <f>VLOOKUP(A93,'Main Data File'!$C$4:$U$146,16,FALSE)</f>
        <v>0</v>
      </c>
      <c r="AZ93" s="135">
        <f>VLOOKUP(A93,'Main Data File'!$C$4:$U$146,13,FALSE)</f>
        <v>0</v>
      </c>
      <c r="BA93" s="135">
        <f>VLOOKUP(A93,'Main Data File'!$C$4:$U$146,14,FALSE)</f>
        <v>0</v>
      </c>
      <c r="BB93" s="135">
        <f>VLOOKUP(A93,'Main Data File'!$C$4:$U$146,15,FALSE)</f>
        <v>0</v>
      </c>
    </row>
    <row r="94" spans="1:54" ht="54" hidden="1" customHeight="1">
      <c r="A94" s="16" t="s">
        <v>422</v>
      </c>
      <c r="B94" s="16" t="str">
        <f>VLOOKUP(A94,'Main Data File'!$C$4:$U$146,19,FALSE)</f>
        <v>Andy</v>
      </c>
      <c r="C94" s="16"/>
      <c r="D94" s="16"/>
      <c r="E94" s="129"/>
      <c r="F94" s="129" t="s">
        <v>1465</v>
      </c>
      <c r="G94" s="130" t="str">
        <f>VLOOKUP(A94,'Main Data File'!$C$4:$U$146,17,FALSE)</f>
        <v>V-056IWB</v>
      </c>
      <c r="H94" s="129"/>
      <c r="I94" s="12" t="str">
        <f>VLOOKUP(A94,'Main Data File'!$C$4:$U$146,2,FALSE)</f>
        <v>Register 4X8 White Deep</v>
      </c>
      <c r="J94" s="12" t="str">
        <f>VLOOKUP(A94,'Main Data File'!$C$4:$U$146,18,FALSE)</f>
        <v>None</v>
      </c>
      <c r="K94" s="129" t="s">
        <v>71</v>
      </c>
      <c r="L94" s="129"/>
      <c r="M94" s="129"/>
      <c r="N94" s="129"/>
      <c r="O94" s="129">
        <f>VLOOKUP(A94,'Main Data File'!$C$4:$U$146,3,FALSE)</f>
        <v>8.5</v>
      </c>
      <c r="P94" s="129">
        <f>VLOOKUP(A94,'Main Data File'!$C$4:$U$146,5,FALSE)</f>
        <v>1</v>
      </c>
      <c r="Q94" s="129">
        <f>VLOOKUP(A94,'Main Data File'!$C$4:$U$146,4,FALSE)</f>
        <v>4.5</v>
      </c>
      <c r="R94" s="129">
        <f>VLOOKUP(A94,'Main Data File'!$C$4:$U$146,6,FALSE)</f>
        <v>1.1000000000000001</v>
      </c>
      <c r="S94" s="131">
        <f>VLOOKUP(A94,'Main Data File'!$C$4:$U$146,7,FALSE)</f>
        <v>2.2135416666666668E-2</v>
      </c>
      <c r="T94" s="129" t="str">
        <f>VLOOKUP(A94,'Main Data File'!$C$4:$U$146,8,FALSE)</f>
        <v>Shrink Wrap</v>
      </c>
      <c r="U94" s="129"/>
      <c r="V94" s="129"/>
      <c r="W94" s="129"/>
      <c r="X94" s="129"/>
      <c r="Y94" s="129"/>
      <c r="Z94" s="129"/>
      <c r="AA94" s="129"/>
      <c r="AB94" s="129"/>
      <c r="AC94" s="129"/>
      <c r="AD94" s="129"/>
      <c r="AE94" s="129"/>
      <c r="AF94" s="129"/>
      <c r="AG94" s="129"/>
      <c r="AH94" s="129"/>
      <c r="AI94" s="129"/>
      <c r="AJ94" s="129"/>
      <c r="AK94" s="129"/>
      <c r="AL94" s="129"/>
      <c r="AM94" s="129"/>
      <c r="AN94" s="129"/>
      <c r="AO94" s="129"/>
      <c r="AP94" s="10"/>
      <c r="AQ94" s="132">
        <f>VLOOKUP(A94,'Main Data File'!$C$4:$U$146,10,FALSE)</f>
        <v>544</v>
      </c>
      <c r="AR94" s="133" t="e">
        <f>VLOOKUP(A94,#REF!,44,FALSE)</f>
        <v>#REF!</v>
      </c>
      <c r="AS94" s="133" t="e">
        <f>VLOOKUP(A94,#REF!,24,FALSE)</f>
        <v>#REF!</v>
      </c>
      <c r="AT94" s="129"/>
      <c r="AU94" s="134" t="e">
        <f t="shared" si="1"/>
        <v>#REF!</v>
      </c>
      <c r="AV94" s="139"/>
      <c r="AW94" s="133" t="e">
        <f>VLOOKUP(A94,#REF!,25,FALSE)</f>
        <v>#REF!</v>
      </c>
      <c r="AX94" s="133" t="e">
        <f>VLOOKUP(A94,'Lowe''s final SKU list'!$C$2:$Q$99,2,FALSE)</f>
        <v>#N/A</v>
      </c>
      <c r="AY94" s="135">
        <f>VLOOKUP(A94,'Main Data File'!$C$4:$U$146,16,FALSE)</f>
        <v>0</v>
      </c>
      <c r="AZ94" s="135">
        <f>VLOOKUP(A94,'Main Data File'!$C$4:$U$146,13,FALSE)</f>
        <v>0</v>
      </c>
      <c r="BA94" s="135">
        <f>VLOOKUP(A94,'Main Data File'!$C$4:$U$146,14,FALSE)</f>
        <v>0</v>
      </c>
      <c r="BB94" s="135">
        <f>VLOOKUP(A94,'Main Data File'!$C$4:$U$146,15,FALSE)</f>
        <v>0</v>
      </c>
    </row>
    <row r="95" spans="1:54" ht="54" hidden="1" customHeight="1">
      <c r="A95" s="16" t="s">
        <v>425</v>
      </c>
      <c r="B95" s="16" t="str">
        <f>VLOOKUP(A95,'Main Data File'!$C$4:$U$146,19,FALSE)</f>
        <v>Andy</v>
      </c>
      <c r="C95" s="16"/>
      <c r="D95" s="16"/>
      <c r="E95" s="129"/>
      <c r="F95" s="129" t="s">
        <v>1466</v>
      </c>
      <c r="G95" s="130" t="str">
        <f>VLOOKUP(A95,'Main Data File'!$C$4:$U$146,17,FALSE)</f>
        <v>V-057IB</v>
      </c>
      <c r="H95" s="129"/>
      <c r="I95" s="12" t="str">
        <f>VLOOKUP(A95,'Main Data File'!$C$4:$U$146,2,FALSE)</f>
        <v>Register 4X10 Brown Deep</v>
      </c>
      <c r="J95" s="12" t="str">
        <f>VLOOKUP(A95,'Main Data File'!$C$4:$U$146,18,FALSE)</f>
        <v>None</v>
      </c>
      <c r="K95" s="129" t="s">
        <v>71</v>
      </c>
      <c r="L95" s="129"/>
      <c r="M95" s="129"/>
      <c r="N95" s="129"/>
      <c r="O95" s="129">
        <f>VLOOKUP(A95,'Main Data File'!$C$4:$U$146,3,FALSE)</f>
        <v>10.5</v>
      </c>
      <c r="P95" s="129">
        <f>VLOOKUP(A95,'Main Data File'!$C$4:$U$146,5,FALSE)</f>
        <v>1</v>
      </c>
      <c r="Q95" s="129">
        <f>VLOOKUP(A95,'Main Data File'!$C$4:$U$146,4,FALSE)</f>
        <v>4.5</v>
      </c>
      <c r="R95" s="129">
        <f>VLOOKUP(A95,'Main Data File'!$C$4:$U$146,6,FALSE)</f>
        <v>1.1399999999999999</v>
      </c>
      <c r="S95" s="131">
        <f>VLOOKUP(A95,'Main Data File'!$C$4:$U$146,7,FALSE)</f>
        <v>2.734375E-2</v>
      </c>
      <c r="T95" s="129" t="str">
        <f>VLOOKUP(A95,'Main Data File'!$C$4:$U$146,8,FALSE)</f>
        <v>Shrink Wrap</v>
      </c>
      <c r="U95" s="129"/>
      <c r="V95" s="129"/>
      <c r="W95" s="129"/>
      <c r="X95" s="129"/>
      <c r="Y95" s="129"/>
      <c r="Z95" s="129"/>
      <c r="AA95" s="129"/>
      <c r="AB95" s="129"/>
      <c r="AC95" s="129"/>
      <c r="AD95" s="129"/>
      <c r="AE95" s="129"/>
      <c r="AF95" s="129"/>
      <c r="AG95" s="129"/>
      <c r="AH95" s="129"/>
      <c r="AI95" s="129"/>
      <c r="AJ95" s="129"/>
      <c r="AK95" s="129"/>
      <c r="AL95" s="129"/>
      <c r="AM95" s="129"/>
      <c r="AN95" s="129"/>
      <c r="AO95" s="129"/>
      <c r="AP95" s="10"/>
      <c r="AQ95" s="132">
        <f>VLOOKUP(A95,'Main Data File'!$C$4:$U$146,10,FALSE)</f>
        <v>82320</v>
      </c>
      <c r="AR95" s="133" t="e">
        <f>VLOOKUP(A95,#REF!,44,FALSE)</f>
        <v>#REF!</v>
      </c>
      <c r="AS95" s="133" t="e">
        <f>VLOOKUP(A95,#REF!,24,FALSE)</f>
        <v>#REF!</v>
      </c>
      <c r="AT95" s="129"/>
      <c r="AU95" s="134" t="e">
        <f t="shared" si="1"/>
        <v>#REF!</v>
      </c>
      <c r="AV95" s="139"/>
      <c r="AW95" s="133" t="e">
        <f>VLOOKUP(A95,#REF!,25,FALSE)</f>
        <v>#REF!</v>
      </c>
      <c r="AX95" s="133" t="e">
        <f>VLOOKUP(A95,'Lowe''s final SKU list'!$C$2:$Q$99,2,FALSE)</f>
        <v>#N/A</v>
      </c>
      <c r="AY95" s="135">
        <f>VLOOKUP(A95,'Main Data File'!$C$4:$U$146,16,FALSE)</f>
        <v>0</v>
      </c>
      <c r="AZ95" s="135">
        <f>VLOOKUP(A95,'Main Data File'!$C$4:$U$146,13,FALSE)</f>
        <v>0</v>
      </c>
      <c r="BA95" s="135">
        <f>VLOOKUP(A95,'Main Data File'!$C$4:$U$146,14,FALSE)</f>
        <v>0</v>
      </c>
      <c r="BB95" s="135">
        <f>VLOOKUP(A95,'Main Data File'!$C$4:$U$146,15,FALSE)</f>
        <v>0</v>
      </c>
    </row>
    <row r="96" spans="1:54" ht="54" hidden="1" customHeight="1">
      <c r="A96" s="16" t="s">
        <v>428</v>
      </c>
      <c r="B96" s="16" t="str">
        <f>VLOOKUP(A96,'Main Data File'!$C$4:$U$146,19,FALSE)</f>
        <v>Andy</v>
      </c>
      <c r="C96" s="16"/>
      <c r="D96" s="16"/>
      <c r="E96" s="129"/>
      <c r="F96" s="129" t="s">
        <v>1467</v>
      </c>
      <c r="G96" s="130" t="str">
        <f>VLOOKUP(A96,'Main Data File'!$C$4:$U$146,17,FALSE)</f>
        <v>V-102B</v>
      </c>
      <c r="H96" s="129"/>
      <c r="I96" s="12" t="str">
        <f>VLOOKUP(A96,'Main Data File'!$C$4:$U$146,2,FALSE)</f>
        <v>Register 4X8 Brown Shallow</v>
      </c>
      <c r="J96" s="12" t="str">
        <f>VLOOKUP(A96,'Main Data File'!$C$4:$U$146,18,FALSE)</f>
        <v>None</v>
      </c>
      <c r="K96" s="129" t="s">
        <v>71</v>
      </c>
      <c r="L96" s="129"/>
      <c r="M96" s="129"/>
      <c r="N96" s="129"/>
      <c r="O96" s="129">
        <f>VLOOKUP(A96,'Main Data File'!$C$4:$U$146,3,FALSE)</f>
        <v>8.5</v>
      </c>
      <c r="P96" s="129">
        <f>VLOOKUP(A96,'Main Data File'!$C$4:$U$146,5,FALSE)</f>
        <v>0.5</v>
      </c>
      <c r="Q96" s="129">
        <f>VLOOKUP(A96,'Main Data File'!$C$4:$U$146,4,FALSE)</f>
        <v>4.5</v>
      </c>
      <c r="R96" s="129">
        <f>VLOOKUP(A96,'Main Data File'!$C$4:$U$146,6,FALSE)</f>
        <v>0.93</v>
      </c>
      <c r="S96" s="131">
        <f>VLOOKUP(A96,'Main Data File'!$C$4:$U$146,7,FALSE)</f>
        <v>1.1067708333333334E-2</v>
      </c>
      <c r="T96" s="129" t="str">
        <f>VLOOKUP(A96,'Main Data File'!$C$4:$U$146,8,FALSE)</f>
        <v>Shrink Wrap</v>
      </c>
      <c r="U96" s="129"/>
      <c r="V96" s="129"/>
      <c r="W96" s="129"/>
      <c r="X96" s="129"/>
      <c r="Y96" s="129"/>
      <c r="Z96" s="129"/>
      <c r="AA96" s="129"/>
      <c r="AB96" s="129"/>
      <c r="AC96" s="129"/>
      <c r="AD96" s="129"/>
      <c r="AE96" s="129"/>
      <c r="AF96" s="129"/>
      <c r="AG96" s="129"/>
      <c r="AH96" s="129"/>
      <c r="AI96" s="129"/>
      <c r="AJ96" s="129"/>
      <c r="AK96" s="129"/>
      <c r="AL96" s="129"/>
      <c r="AM96" s="129"/>
      <c r="AN96" s="129"/>
      <c r="AO96" s="129"/>
      <c r="AP96" s="10"/>
      <c r="AQ96" s="132">
        <f>VLOOKUP(A96,'Main Data File'!$C$4:$U$146,10,FALSE)</f>
        <v>1291.9999999999998</v>
      </c>
      <c r="AR96" s="133" t="e">
        <f>VLOOKUP(A96,#REF!,44,FALSE)</f>
        <v>#REF!</v>
      </c>
      <c r="AS96" s="133" t="e">
        <f>VLOOKUP(A96,#REF!,24,FALSE)</f>
        <v>#REF!</v>
      </c>
      <c r="AT96" s="129"/>
      <c r="AU96" s="134" t="e">
        <f t="shared" si="1"/>
        <v>#REF!</v>
      </c>
      <c r="AV96" s="139"/>
      <c r="AW96" s="133" t="e">
        <f>VLOOKUP(A96,#REF!,25,FALSE)</f>
        <v>#REF!</v>
      </c>
      <c r="AX96" s="133" t="e">
        <f>VLOOKUP(A96,'Lowe''s final SKU list'!$C$2:$Q$99,2,FALSE)</f>
        <v>#N/A</v>
      </c>
      <c r="AY96" s="135">
        <f>VLOOKUP(A96,'Main Data File'!$C$4:$U$146,16,FALSE)</f>
        <v>0</v>
      </c>
      <c r="AZ96" s="135">
        <f>VLOOKUP(A96,'Main Data File'!$C$4:$U$146,13,FALSE)</f>
        <v>0</v>
      </c>
      <c r="BA96" s="135">
        <f>VLOOKUP(A96,'Main Data File'!$C$4:$U$146,14,FALSE)</f>
        <v>0</v>
      </c>
      <c r="BB96" s="135">
        <f>VLOOKUP(A96,'Main Data File'!$C$4:$U$146,15,FALSE)</f>
        <v>0</v>
      </c>
    </row>
    <row r="97" spans="1:54" ht="54" hidden="1" customHeight="1">
      <c r="A97" s="16" t="s">
        <v>431</v>
      </c>
      <c r="B97" s="16" t="str">
        <f>VLOOKUP(A97,'Main Data File'!$C$4:$U$146,19,FALSE)</f>
        <v>Andy</v>
      </c>
      <c r="C97" s="16"/>
      <c r="D97" s="16"/>
      <c r="E97" s="129"/>
      <c r="F97" s="129" t="s">
        <v>1468</v>
      </c>
      <c r="G97" s="130" t="str">
        <f>VLOOKUP(A97,'Main Data File'!$C$4:$U$146,17,FALSE)</f>
        <v>V-103B</v>
      </c>
      <c r="H97" s="129"/>
      <c r="I97" s="12" t="str">
        <f>VLOOKUP(A97,'Main Data File'!$C$4:$U$146,2,FALSE)</f>
        <v>Register 4X10 Brown Shallow</v>
      </c>
      <c r="J97" s="12" t="str">
        <f>VLOOKUP(A97,'Main Data File'!$C$4:$U$146,18,FALSE)</f>
        <v>None</v>
      </c>
      <c r="K97" s="129" t="s">
        <v>71</v>
      </c>
      <c r="L97" s="129"/>
      <c r="M97" s="129"/>
      <c r="N97" s="129"/>
      <c r="O97" s="129">
        <f>VLOOKUP(A97,'Main Data File'!$C$4:$U$146,3,FALSE)</f>
        <v>10.5</v>
      </c>
      <c r="P97" s="129">
        <f>VLOOKUP(A97,'Main Data File'!$C$4:$U$146,5,FALSE)</f>
        <v>0.5</v>
      </c>
      <c r="Q97" s="129">
        <f>VLOOKUP(A97,'Main Data File'!$C$4:$U$146,4,FALSE)</f>
        <v>4.5</v>
      </c>
      <c r="R97" s="129">
        <f>VLOOKUP(A97,'Main Data File'!$C$4:$U$146,6,FALSE)</f>
        <v>1.06</v>
      </c>
      <c r="S97" s="131">
        <f>VLOOKUP(A97,'Main Data File'!$C$4:$U$146,7,FALSE)</f>
        <v>1.3671875E-2</v>
      </c>
      <c r="T97" s="129" t="str">
        <f>VLOOKUP(A97,'Main Data File'!$C$4:$U$146,8,FALSE)</f>
        <v>Shrink Wrap</v>
      </c>
      <c r="U97" s="129"/>
      <c r="V97" s="129"/>
      <c r="W97" s="129"/>
      <c r="X97" s="129"/>
      <c r="Y97" s="129"/>
      <c r="Z97" s="129"/>
      <c r="AA97" s="129"/>
      <c r="AB97" s="129"/>
      <c r="AC97" s="129"/>
      <c r="AD97" s="129"/>
      <c r="AE97" s="129"/>
      <c r="AF97" s="129"/>
      <c r="AG97" s="129"/>
      <c r="AH97" s="129"/>
      <c r="AI97" s="129"/>
      <c r="AJ97" s="129"/>
      <c r="AK97" s="129"/>
      <c r="AL97" s="129"/>
      <c r="AM97" s="129"/>
      <c r="AN97" s="129"/>
      <c r="AO97" s="129"/>
      <c r="AP97" s="10"/>
      <c r="AQ97" s="132">
        <f>VLOOKUP(A97,'Main Data File'!$C$4:$U$146,10,FALSE)</f>
        <v>2244</v>
      </c>
      <c r="AR97" s="133" t="e">
        <f>VLOOKUP(A97,#REF!,44,FALSE)</f>
        <v>#REF!</v>
      </c>
      <c r="AS97" s="133" t="e">
        <f>VLOOKUP(A97,#REF!,24,FALSE)</f>
        <v>#REF!</v>
      </c>
      <c r="AT97" s="129"/>
      <c r="AU97" s="134" t="e">
        <f t="shared" si="1"/>
        <v>#REF!</v>
      </c>
      <c r="AV97" s="139"/>
      <c r="AW97" s="133" t="e">
        <f>VLOOKUP(A97,#REF!,25,FALSE)</f>
        <v>#REF!</v>
      </c>
      <c r="AX97" s="133" t="e">
        <f>VLOOKUP(A97,'Lowe''s final SKU list'!$C$2:$Q$99,2,FALSE)</f>
        <v>#N/A</v>
      </c>
      <c r="AY97" s="135">
        <f>VLOOKUP(A97,'Main Data File'!$C$4:$U$146,16,FALSE)</f>
        <v>0</v>
      </c>
      <c r="AZ97" s="135">
        <f>VLOOKUP(A97,'Main Data File'!$C$4:$U$146,13,FALSE)</f>
        <v>0</v>
      </c>
      <c r="BA97" s="135">
        <f>VLOOKUP(A97,'Main Data File'!$C$4:$U$146,14,FALSE)</f>
        <v>0</v>
      </c>
      <c r="BB97" s="135">
        <f>VLOOKUP(A97,'Main Data File'!$C$4:$U$146,15,FALSE)</f>
        <v>0</v>
      </c>
    </row>
    <row r="98" spans="1:54" ht="54" hidden="1" customHeight="1">
      <c r="A98" s="16" t="s">
        <v>433</v>
      </c>
      <c r="B98" s="16" t="str">
        <f>VLOOKUP(A98,'Main Data File'!$C$4:$U$146,19,FALSE)</f>
        <v>Andy</v>
      </c>
      <c r="C98" s="16"/>
      <c r="D98" s="16"/>
      <c r="E98" s="129"/>
      <c r="F98" s="129" t="s">
        <v>1469</v>
      </c>
      <c r="G98" s="130" t="str">
        <f>VLOOKUP(A98,'Main Data File'!$C$4:$U$146,17,FALSE)</f>
        <v>V-103WB</v>
      </c>
      <c r="H98" s="129"/>
      <c r="I98" s="12" t="str">
        <f>VLOOKUP(A98,'Main Data File'!$C$4:$U$146,2,FALSE)</f>
        <v>Register 4X10 White Shallow</v>
      </c>
      <c r="J98" s="12" t="str">
        <f>VLOOKUP(A98,'Main Data File'!$C$4:$U$146,18,FALSE)</f>
        <v>None</v>
      </c>
      <c r="K98" s="129" t="s">
        <v>71</v>
      </c>
      <c r="L98" s="129"/>
      <c r="M98" s="129"/>
      <c r="N98" s="129"/>
      <c r="O98" s="129">
        <f>VLOOKUP(A98,'Main Data File'!$C$4:$U$146,3,FALSE)</f>
        <v>10.5</v>
      </c>
      <c r="P98" s="129">
        <f>VLOOKUP(A98,'Main Data File'!$C$4:$U$146,5,FALSE)</f>
        <v>0.5</v>
      </c>
      <c r="Q98" s="129">
        <f>VLOOKUP(A98,'Main Data File'!$C$4:$U$146,4,FALSE)</f>
        <v>4.5</v>
      </c>
      <c r="R98" s="129">
        <f>VLOOKUP(A98,'Main Data File'!$C$4:$U$146,6,FALSE)</f>
        <v>1.06</v>
      </c>
      <c r="S98" s="131">
        <f>VLOOKUP(A98,'Main Data File'!$C$4:$U$146,7,FALSE)</f>
        <v>1.3671875E-2</v>
      </c>
      <c r="T98" s="129" t="str">
        <f>VLOOKUP(A98,'Main Data File'!$C$4:$U$146,8,FALSE)</f>
        <v>Shrink Wrap</v>
      </c>
      <c r="U98" s="129"/>
      <c r="V98" s="129"/>
      <c r="W98" s="129"/>
      <c r="X98" s="129"/>
      <c r="Y98" s="129"/>
      <c r="Z98" s="129"/>
      <c r="AA98" s="129"/>
      <c r="AB98" s="129"/>
      <c r="AC98" s="129"/>
      <c r="AD98" s="129"/>
      <c r="AE98" s="129"/>
      <c r="AF98" s="129"/>
      <c r="AG98" s="129"/>
      <c r="AH98" s="129"/>
      <c r="AI98" s="129"/>
      <c r="AJ98" s="129"/>
      <c r="AK98" s="129"/>
      <c r="AL98" s="129"/>
      <c r="AM98" s="129"/>
      <c r="AN98" s="129"/>
      <c r="AO98" s="129"/>
      <c r="AP98" s="10"/>
      <c r="AQ98" s="132">
        <f>VLOOKUP(A98,'Main Data File'!$C$4:$U$146,10,FALSE)</f>
        <v>17150</v>
      </c>
      <c r="AR98" s="133" t="e">
        <f>VLOOKUP(A98,#REF!,44,FALSE)</f>
        <v>#REF!</v>
      </c>
      <c r="AS98" s="133" t="e">
        <f>VLOOKUP(A98,#REF!,24,FALSE)</f>
        <v>#REF!</v>
      </c>
      <c r="AT98" s="129"/>
      <c r="AU98" s="134" t="e">
        <f t="shared" si="1"/>
        <v>#REF!</v>
      </c>
      <c r="AV98" s="139"/>
      <c r="AW98" s="133" t="e">
        <f>VLOOKUP(A98,#REF!,25,FALSE)</f>
        <v>#REF!</v>
      </c>
      <c r="AX98" s="133" t="e">
        <f>VLOOKUP(A98,'Lowe''s final SKU list'!$C$2:$Q$99,2,FALSE)</f>
        <v>#N/A</v>
      </c>
      <c r="AY98" s="135">
        <f>VLOOKUP(A98,'Main Data File'!$C$4:$U$146,16,FALSE)</f>
        <v>0</v>
      </c>
      <c r="AZ98" s="135">
        <f>VLOOKUP(A98,'Main Data File'!$C$4:$U$146,13,FALSE)</f>
        <v>0</v>
      </c>
      <c r="BA98" s="135">
        <f>VLOOKUP(A98,'Main Data File'!$C$4:$U$146,14,FALSE)</f>
        <v>0</v>
      </c>
      <c r="BB98" s="135">
        <f>VLOOKUP(A98,'Main Data File'!$C$4:$U$146,15,FALSE)</f>
        <v>0</v>
      </c>
    </row>
    <row r="99" spans="1:54" ht="54" customHeight="1">
      <c r="A99" s="16" t="s">
        <v>162</v>
      </c>
      <c r="B99" s="16" t="str">
        <f>VLOOKUP(A99,'Main Data File'!$C$4:$U$146,19,FALSE)</f>
        <v>Andy</v>
      </c>
      <c r="C99" s="16"/>
      <c r="D99" s="16"/>
      <c r="E99" s="129"/>
      <c r="F99" s="129" t="s">
        <v>1470</v>
      </c>
      <c r="G99" s="130" t="str">
        <f>VLOOKUP(A99,'Main Data File'!$C$4:$U$146,17,FALSE)</f>
        <v>C1852</v>
      </c>
      <c r="H99" s="129"/>
      <c r="I99" s="12" t="str">
        <f>VLOOKUP(A99,'Main Data File'!$C$4:$U$146,2,FALSE)</f>
        <v xml:space="preserve">CP Tub Spout </v>
      </c>
      <c r="J99" s="12" t="str">
        <f>VLOOKUP(A99,'Main Data File'!$C$4:$U$146,18,FALSE)</f>
        <v>Use back of World and Main card</v>
      </c>
      <c r="K99" s="129" t="s">
        <v>71</v>
      </c>
      <c r="L99" s="129"/>
      <c r="M99" s="129"/>
      <c r="N99" s="129"/>
      <c r="O99" s="129">
        <f>VLOOKUP(A99,'Main Data File'!$C$4:$U$146,3,FALSE)</f>
        <v>8.25</v>
      </c>
      <c r="P99" s="129">
        <f>VLOOKUP(A99,'Main Data File'!$C$4:$U$146,5,FALSE)</f>
        <v>3</v>
      </c>
      <c r="Q99" s="129">
        <f>VLOOKUP(A99,'Main Data File'!$C$4:$U$146,4,FALSE)</f>
        <v>5.125</v>
      </c>
      <c r="R99" s="129">
        <f>VLOOKUP(A99,'Main Data File'!$C$4:$U$146,6,FALSE)</f>
        <v>0.57999999999999996</v>
      </c>
      <c r="S99" s="131">
        <f>VLOOKUP(A99,'Main Data File'!$C$4:$U$146,7,FALSE)</f>
        <v>7.3404947916666671E-2</v>
      </c>
      <c r="T99" s="129" t="str">
        <f>VLOOKUP(A99,'Main Data File'!$C$4:$U$146,8,FALSE)</f>
        <v>Heat Formed Plastic</v>
      </c>
      <c r="U99" s="129"/>
      <c r="V99" s="129"/>
      <c r="W99" s="129"/>
      <c r="X99" s="129"/>
      <c r="Y99" s="129"/>
      <c r="Z99" s="129"/>
      <c r="AA99" s="129"/>
      <c r="AB99" s="129"/>
      <c r="AC99" s="129"/>
      <c r="AD99" s="129"/>
      <c r="AE99" s="129"/>
      <c r="AF99" s="129"/>
      <c r="AG99" s="129"/>
      <c r="AH99" s="129"/>
      <c r="AI99" s="129"/>
      <c r="AJ99" s="129"/>
      <c r="AK99" s="129"/>
      <c r="AL99" s="129"/>
      <c r="AM99" s="129"/>
      <c r="AN99" s="129"/>
      <c r="AO99" s="129"/>
      <c r="AP99" s="10"/>
      <c r="AQ99" s="132">
        <f>VLOOKUP(A99,'Main Data File'!$C$4:$U$146,10,FALSE)</f>
        <v>920</v>
      </c>
      <c r="AR99" s="133" t="e">
        <f>VLOOKUP(A99,#REF!,44,FALSE)</f>
        <v>#REF!</v>
      </c>
      <c r="AS99" s="133" t="e">
        <f>VLOOKUP(A99,#REF!,24,FALSE)</f>
        <v>#REF!</v>
      </c>
      <c r="AT99" s="129"/>
      <c r="AU99" s="134" t="e">
        <f t="shared" si="1"/>
        <v>#REF!</v>
      </c>
      <c r="AV99" s="139"/>
      <c r="AW99" s="133" t="e">
        <f>VLOOKUP(A99,#REF!,25,FALSE)</f>
        <v>#REF!</v>
      </c>
      <c r="AX99" s="133" t="str">
        <f>VLOOKUP(A99,'Lowe''s final SKU list'!$C$2:$Q$99,2,FALSE)</f>
        <v>YES</v>
      </c>
      <c r="AY99" s="135" t="str">
        <f>VLOOKUP(A99,'Main Data File'!$C$4:$U$146,16,FALSE)</f>
        <v>x</v>
      </c>
      <c r="AZ99" s="135">
        <f>VLOOKUP(A99,'Main Data File'!$C$4:$U$146,13,FALSE)</f>
        <v>0</v>
      </c>
      <c r="BA99" s="135" t="str">
        <f>VLOOKUP(A99,'Main Data File'!$C$4:$U$146,14,FALSE)</f>
        <v>x</v>
      </c>
      <c r="BB99" s="135">
        <f>VLOOKUP(A99,'Main Data File'!$C$4:$U$146,15,FALSE)</f>
        <v>0</v>
      </c>
    </row>
    <row r="100" spans="1:54" ht="54" customHeight="1">
      <c r="A100" s="16" t="s">
        <v>163</v>
      </c>
      <c r="B100" s="16" t="str">
        <f>VLOOKUP(A100,'Main Data File'!$C$4:$U$146,19,FALSE)</f>
        <v>Andy</v>
      </c>
      <c r="C100" s="16"/>
      <c r="D100" s="16"/>
      <c r="E100" s="129"/>
      <c r="F100" s="129" t="s">
        <v>1471</v>
      </c>
      <c r="G100" s="130" t="str">
        <f>VLOOKUP(A100,'Main Data File'!$C$4:$U$146,17,FALSE)</f>
        <v>C1853</v>
      </c>
      <c r="H100" s="129"/>
      <c r="I100" s="12" t="str">
        <f>VLOOKUP(A100,'Main Data File'!$C$4:$U$146,2,FALSE)</f>
        <v>CP Diverter Tub Spout - Front Diverter</v>
      </c>
      <c r="J100" s="12" t="str">
        <f>VLOOKUP(A100,'Main Data File'!$C$4:$U$146,18,FALSE)</f>
        <v>Done.  Item is in Menards.</v>
      </c>
      <c r="K100" s="129" t="s">
        <v>71</v>
      </c>
      <c r="L100" s="129"/>
      <c r="M100" s="129"/>
      <c r="N100" s="129"/>
      <c r="O100" s="129">
        <f>VLOOKUP(A100,'Main Data File'!$C$4:$U$146,3,FALSE)</f>
        <v>8.25</v>
      </c>
      <c r="P100" s="129">
        <f>VLOOKUP(A100,'Main Data File'!$C$4:$U$146,5,FALSE)</f>
        <v>5.5</v>
      </c>
      <c r="Q100" s="129">
        <f>VLOOKUP(A100,'Main Data File'!$C$4:$U$146,4,FALSE)</f>
        <v>5.125</v>
      </c>
      <c r="R100" s="129">
        <f>VLOOKUP(A100,'Main Data File'!$C$4:$U$146,6,FALSE)</f>
        <v>0.67</v>
      </c>
      <c r="S100" s="131">
        <f>VLOOKUP(A100,'Main Data File'!$C$4:$U$146,7,FALSE)</f>
        <v>0.13457573784722221</v>
      </c>
      <c r="T100" s="129" t="str">
        <f>VLOOKUP(A100,'Main Data File'!$C$4:$U$146,8,FALSE)</f>
        <v>Heat Formed Plastic</v>
      </c>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0"/>
      <c r="AQ100" s="132">
        <f>VLOOKUP(A100,'Main Data File'!$C$4:$U$146,10,FALSE)</f>
        <v>408</v>
      </c>
      <c r="AR100" s="133" t="e">
        <f>VLOOKUP(A100,#REF!,44,FALSE)</f>
        <v>#REF!</v>
      </c>
      <c r="AS100" s="133" t="e">
        <f>VLOOKUP(A100,#REF!,24,FALSE)</f>
        <v>#REF!</v>
      </c>
      <c r="AT100" s="129"/>
      <c r="AU100" s="134" t="e">
        <f t="shared" si="1"/>
        <v>#REF!</v>
      </c>
      <c r="AV100" s="139"/>
      <c r="AW100" s="133" t="e">
        <f>VLOOKUP(A100,#REF!,25,FALSE)</f>
        <v>#REF!</v>
      </c>
      <c r="AX100" s="133" t="str">
        <f>VLOOKUP(A100,'Lowe''s final SKU list'!$C$2:$Q$99,2,FALSE)</f>
        <v>YES</v>
      </c>
      <c r="AY100" s="135" t="str">
        <f>VLOOKUP(A100,'Main Data File'!$C$4:$U$146,16,FALSE)</f>
        <v>x</v>
      </c>
      <c r="AZ100" s="135">
        <f>VLOOKUP(A100,'Main Data File'!$C$4:$U$146,13,FALSE)</f>
        <v>0</v>
      </c>
      <c r="BA100" s="135">
        <f>VLOOKUP(A100,'Main Data File'!$C$4:$U$146,14,FALSE)</f>
        <v>0</v>
      </c>
      <c r="BB100" s="135">
        <f>VLOOKUP(A100,'Main Data File'!$C$4:$U$146,15,FALSE)</f>
        <v>0</v>
      </c>
    </row>
    <row r="101" spans="1:54" ht="54" customHeight="1">
      <c r="A101" s="16" t="s">
        <v>164</v>
      </c>
      <c r="B101" s="16" t="str">
        <f>VLOOKUP(A101,'Main Data File'!$C$4:$U$146,19,FALSE)</f>
        <v>Andy</v>
      </c>
      <c r="C101" s="16"/>
      <c r="D101" s="16"/>
      <c r="E101" s="129"/>
      <c r="F101" s="129" t="s">
        <v>1472</v>
      </c>
      <c r="G101" s="130" t="str">
        <f>VLOOKUP(A101,'Main Data File'!$C$4:$U$146,17,FALSE)</f>
        <v>C0265</v>
      </c>
      <c r="H101" s="129"/>
      <c r="I101" s="12" t="str">
        <f>VLOOKUP(A101,'Main Data File'!$C$4:$U$146,2,FALSE)</f>
        <v>CP Plastic Shower Head</v>
      </c>
      <c r="J101" s="12" t="str">
        <f>VLOOKUP(A101,'Main Data File'!$C$4:$U$146,18,FALSE)</f>
        <v>Use back of World and Main card</v>
      </c>
      <c r="K101" s="129" t="s">
        <v>71</v>
      </c>
      <c r="L101" s="129"/>
      <c r="M101" s="129"/>
      <c r="N101" s="129"/>
      <c r="O101" s="129">
        <f>VLOOKUP(A101,'Main Data File'!$C$4:$U$146,3,FALSE)</f>
        <v>5.7</v>
      </c>
      <c r="P101" s="129">
        <f>VLOOKUP(A101,'Main Data File'!$C$4:$U$146,5,FALSE)</f>
        <v>2</v>
      </c>
      <c r="Q101" s="129">
        <f>VLOOKUP(A101,'Main Data File'!$C$4:$U$146,4,FALSE)</f>
        <v>3.65</v>
      </c>
      <c r="R101" s="129">
        <f>VLOOKUP(A101,'Main Data File'!$C$4:$U$146,6,FALSE)</f>
        <v>0.2</v>
      </c>
      <c r="S101" s="131">
        <f>VLOOKUP(A101,'Main Data File'!$C$4:$U$146,7,FALSE)</f>
        <v>2.4079861111111111E-2</v>
      </c>
      <c r="T101" s="129" t="str">
        <f>VLOOKUP(A101,'Main Data File'!$C$4:$U$146,8,FALSE)</f>
        <v>Heat Formed Plastic</v>
      </c>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0"/>
      <c r="AQ101" s="132">
        <f>VLOOKUP(A101,'Main Data File'!$C$4:$U$146,10,FALSE)</f>
        <v>2240</v>
      </c>
      <c r="AR101" s="133" t="e">
        <f>VLOOKUP(A101,#REF!,44,FALSE)</f>
        <v>#REF!</v>
      </c>
      <c r="AS101" s="133" t="e">
        <f>VLOOKUP(A101,#REF!,24,FALSE)</f>
        <v>#REF!</v>
      </c>
      <c r="AT101" s="129"/>
      <c r="AU101" s="134" t="e">
        <f t="shared" si="1"/>
        <v>#REF!</v>
      </c>
      <c r="AV101" s="139"/>
      <c r="AW101" s="133" t="e">
        <f>VLOOKUP(A101,#REF!,25,FALSE)</f>
        <v>#REF!</v>
      </c>
      <c r="AX101" s="133" t="str">
        <f>VLOOKUP(A101,'Lowe''s final SKU list'!$C$2:$Q$99,2,FALSE)</f>
        <v>YES</v>
      </c>
      <c r="AY101" s="135" t="str">
        <f>VLOOKUP(A101,'Main Data File'!$C$4:$U$146,16,FALSE)</f>
        <v>x</v>
      </c>
      <c r="AZ101" s="135">
        <f>VLOOKUP(A101,'Main Data File'!$C$4:$U$146,13,FALSE)</f>
        <v>0</v>
      </c>
      <c r="BA101" s="135" t="str">
        <f>VLOOKUP(A101,'Main Data File'!$C$4:$U$146,14,FALSE)</f>
        <v>x</v>
      </c>
      <c r="BB101" s="135" t="str">
        <f>VLOOKUP(A101,'Main Data File'!$C$4:$U$146,15,FALSE)</f>
        <v>x</v>
      </c>
    </row>
    <row r="102" spans="1:54" ht="54" hidden="1" customHeight="1">
      <c r="A102" s="16" t="s">
        <v>443</v>
      </c>
      <c r="B102" s="16" t="str">
        <f>VLOOKUP(A102,'Main Data File'!$C$4:$U$146,19,FALSE)</f>
        <v>Andy</v>
      </c>
      <c r="C102" s="16"/>
      <c r="D102" s="16"/>
      <c r="E102" s="129"/>
      <c r="F102" s="129"/>
      <c r="G102" s="130">
        <f>VLOOKUP(A102,'Main Data File'!$C$4:$U$146,17,FALSE)</f>
        <v>1551015</v>
      </c>
      <c r="H102" s="129"/>
      <c r="I102" s="12" t="str">
        <f>VLOOKUP(A102,'Main Data File'!$C$4:$U$146,2,FALSE)</f>
        <v>CP Non-Metallic Kitchen Faucet Two-Handle With Spray</v>
      </c>
      <c r="J102" s="12" t="str">
        <f>VLOOKUP(A102,'Main Data File'!$C$4:$U$146,18,FALSE)</f>
        <v>Use back of World and Main card</v>
      </c>
      <c r="K102" s="129" t="s">
        <v>71</v>
      </c>
      <c r="L102" s="129"/>
      <c r="M102" s="129"/>
      <c r="N102" s="129"/>
      <c r="O102" s="129">
        <f>VLOOKUP(A102,'Main Data File'!$C$4:$U$146,3,FALSE)</f>
        <v>10</v>
      </c>
      <c r="P102" s="129">
        <f>VLOOKUP(A102,'Main Data File'!$C$4:$U$146,5,FALSE)</f>
        <v>3.5</v>
      </c>
      <c r="Q102" s="129">
        <f>VLOOKUP(A102,'Main Data File'!$C$4:$U$146,4,FALSE)</f>
        <v>14.5</v>
      </c>
      <c r="R102" s="129">
        <f>VLOOKUP(A102,'Main Data File'!$C$4:$U$146,6,FALSE)</f>
        <v>2.2999999999999998</v>
      </c>
      <c r="S102" s="131">
        <f>VLOOKUP(A102,'Main Data File'!$C$4:$U$146,7,FALSE)</f>
        <v>0.29369212962962965</v>
      </c>
      <c r="T102" s="129" t="str">
        <f>VLOOKUP(A102,'Main Data File'!$C$4:$U$146,8,FALSE)</f>
        <v>Heat Formed Plastic</v>
      </c>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0"/>
      <c r="AQ102" s="132">
        <f>VLOOKUP(A102,'Main Data File'!$C$4:$U$146,10,FALSE)</f>
        <v>10290</v>
      </c>
      <c r="AR102" s="133" t="e">
        <f>VLOOKUP(A102,#REF!,44,FALSE)</f>
        <v>#REF!</v>
      </c>
      <c r="AS102" s="133" t="e">
        <f>VLOOKUP(A102,#REF!,24,FALSE)</f>
        <v>#REF!</v>
      </c>
      <c r="AT102" s="129"/>
      <c r="AU102" s="134" t="e">
        <f t="shared" si="1"/>
        <v>#REF!</v>
      </c>
      <c r="AV102" s="139"/>
      <c r="AW102" s="133" t="e">
        <f>VLOOKUP(A102,#REF!,25,FALSE)</f>
        <v>#REF!</v>
      </c>
      <c r="AX102" s="133" t="e">
        <f>VLOOKUP(A102,'Lowe''s final SKU list'!$C$2:$Q$99,2,FALSE)</f>
        <v>#N/A</v>
      </c>
      <c r="AY102" s="135" t="str">
        <f>VLOOKUP(A102,'Main Data File'!$C$4:$U$146,16,FALSE)</f>
        <v>x</v>
      </c>
      <c r="AZ102" s="135" t="str">
        <f>VLOOKUP(A102,'Main Data File'!$C$4:$U$146,13,FALSE)</f>
        <v>x</v>
      </c>
      <c r="BA102" s="135" t="str">
        <f>VLOOKUP(A102,'Main Data File'!$C$4:$U$146,14,FALSE)</f>
        <v>x</v>
      </c>
      <c r="BB102" s="135" t="str">
        <f>VLOOKUP(A102,'Main Data File'!$C$4:$U$146,15,FALSE)</f>
        <v>x</v>
      </c>
    </row>
    <row r="103" spans="1:54" ht="54" customHeight="1">
      <c r="A103" s="16" t="s">
        <v>165</v>
      </c>
      <c r="B103" s="16" t="str">
        <f>VLOOKUP(A103,'Main Data File'!$C$4:$U$146,19,FALSE)</f>
        <v>Andy</v>
      </c>
      <c r="C103" s="16"/>
      <c r="D103" s="16"/>
      <c r="E103" s="129"/>
      <c r="F103" s="129"/>
      <c r="G103" s="130">
        <f>VLOOKUP(A103,'Main Data File'!$C$4:$U$146,17,FALSE)</f>
        <v>1551010</v>
      </c>
      <c r="H103" s="129"/>
      <c r="I103" s="12" t="str">
        <f>VLOOKUP(A103,'Main Data File'!$C$4:$U$146,2,FALSE)</f>
        <v>CP Non-Metallic Kitchen Faucet Two-Handle Less Spray</v>
      </c>
      <c r="J103" s="12" t="str">
        <f>VLOOKUP(A103,'Main Data File'!$C$4:$U$146,18,FALSE)</f>
        <v>Use back of World and Main card</v>
      </c>
      <c r="K103" s="129" t="s">
        <v>71</v>
      </c>
      <c r="L103" s="129"/>
      <c r="M103" s="129"/>
      <c r="N103" s="129"/>
      <c r="O103" s="129">
        <f>VLOOKUP(A103,'Main Data File'!$C$4:$U$146,3,FALSE)</f>
        <v>10</v>
      </c>
      <c r="P103" s="129">
        <f>VLOOKUP(A103,'Main Data File'!$C$4:$U$146,5,FALSE)</f>
        <v>3.5</v>
      </c>
      <c r="Q103" s="129">
        <f>VLOOKUP(A103,'Main Data File'!$C$4:$U$146,4,FALSE)</f>
        <v>14.5</v>
      </c>
      <c r="R103" s="129">
        <f>VLOOKUP(A103,'Main Data File'!$C$4:$U$146,6,FALSE)</f>
        <v>1.3</v>
      </c>
      <c r="S103" s="131">
        <f>VLOOKUP(A103,'Main Data File'!$C$4:$U$146,7,FALSE)</f>
        <v>0.29369212962962965</v>
      </c>
      <c r="T103" s="129" t="str">
        <f>VLOOKUP(A103,'Main Data File'!$C$4:$U$146,8,FALSE)</f>
        <v>Heat Formed Plastic</v>
      </c>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0"/>
      <c r="AQ103" s="132">
        <f>VLOOKUP(A103,'Main Data File'!$C$4:$U$146,10,FALSE)</f>
        <v>17150</v>
      </c>
      <c r="AR103" s="133" t="e">
        <f>VLOOKUP(A103,#REF!,44,FALSE)</f>
        <v>#REF!</v>
      </c>
      <c r="AS103" s="133" t="e">
        <f>VLOOKUP(A103,#REF!,24,FALSE)</f>
        <v>#REF!</v>
      </c>
      <c r="AT103" s="129"/>
      <c r="AU103" s="134" t="e">
        <f t="shared" si="1"/>
        <v>#REF!</v>
      </c>
      <c r="AV103" s="139"/>
      <c r="AW103" s="133" t="e">
        <f>VLOOKUP(A103,#REF!,25,FALSE)</f>
        <v>#REF!</v>
      </c>
      <c r="AX103" s="133" t="str">
        <f>VLOOKUP(A103,'Lowe''s final SKU list'!$C$2:$Q$99,2,FALSE)</f>
        <v>YES</v>
      </c>
      <c r="AY103" s="135" t="str">
        <f>VLOOKUP(A103,'Main Data File'!$C$4:$U$146,16,FALSE)</f>
        <v>x</v>
      </c>
      <c r="AZ103" s="135" t="str">
        <f>VLOOKUP(A103,'Main Data File'!$C$4:$U$146,13,FALSE)</f>
        <v>x</v>
      </c>
      <c r="BA103" s="135" t="str">
        <f>VLOOKUP(A103,'Main Data File'!$C$4:$U$146,14,FALSE)</f>
        <v>x</v>
      </c>
      <c r="BB103" s="135" t="str">
        <f>VLOOKUP(A103,'Main Data File'!$C$4:$U$146,15,FALSE)</f>
        <v>x</v>
      </c>
    </row>
    <row r="104" spans="1:54" ht="54" customHeight="1">
      <c r="A104" s="16" t="s">
        <v>166</v>
      </c>
      <c r="B104" s="16" t="str">
        <f>VLOOKUP(A104,'Main Data File'!$C$4:$U$146,19,FALSE)</f>
        <v>Andy</v>
      </c>
      <c r="C104" s="16"/>
      <c r="D104" s="16"/>
      <c r="E104" s="129"/>
      <c r="F104" s="129">
        <v>655500</v>
      </c>
      <c r="G104" s="130">
        <f>VLOOKUP(A104,'Main Data File'!$C$4:$U$146,17,FALSE)</f>
        <v>1551110</v>
      </c>
      <c r="H104" s="129"/>
      <c r="I104" s="12" t="str">
        <f>VLOOKUP(A104,'Main Data File'!$C$4:$U$146,2,FALSE)</f>
        <v>CP Non-Metallic Bathroom Faucet Two-Handle Less Pop-Up</v>
      </c>
      <c r="J104" s="12" t="str">
        <f>VLOOKUP(A104,'Main Data File'!$C$4:$U$146,18,FALSE)</f>
        <v>Use back of World and Main card</v>
      </c>
      <c r="K104" s="129" t="s">
        <v>71</v>
      </c>
      <c r="L104" s="129"/>
      <c r="M104" s="129"/>
      <c r="N104" s="129"/>
      <c r="O104" s="129">
        <f>VLOOKUP(A104,'Main Data File'!$C$4:$U$146,3,FALSE)</f>
        <v>8.1300000000000008</v>
      </c>
      <c r="P104" s="129">
        <f>VLOOKUP(A104,'Main Data File'!$C$4:$U$146,5,FALSE)</f>
        <v>3.5</v>
      </c>
      <c r="Q104" s="129">
        <f>VLOOKUP(A104,'Main Data File'!$C$4:$U$146,4,FALSE)</f>
        <v>9</v>
      </c>
      <c r="R104" s="129">
        <f>VLOOKUP(A104,'Main Data File'!$C$4:$U$146,6,FALSE)</f>
        <v>0.89</v>
      </c>
      <c r="S104" s="131">
        <f>VLOOKUP(A104,'Main Data File'!$C$4:$U$146,7,FALSE)</f>
        <v>0.14820312500000002</v>
      </c>
      <c r="T104" s="129" t="str">
        <f>VLOOKUP(A104,'Main Data File'!$C$4:$U$146,8,FALSE)</f>
        <v>Heat Formed Plastic</v>
      </c>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0"/>
      <c r="AQ104" s="132">
        <f>VLOOKUP(A104,'Main Data File'!$C$4:$U$146,10,FALSE)</f>
        <v>17150</v>
      </c>
      <c r="AR104" s="133" t="e">
        <f>VLOOKUP(A104,#REF!,44,FALSE)</f>
        <v>#REF!</v>
      </c>
      <c r="AS104" s="133" t="e">
        <f>VLOOKUP(A104,#REF!,24,FALSE)</f>
        <v>#REF!</v>
      </c>
      <c r="AT104" s="129"/>
      <c r="AU104" s="134" t="e">
        <f t="shared" si="1"/>
        <v>#REF!</v>
      </c>
      <c r="AV104" s="139"/>
      <c r="AW104" s="133" t="e">
        <f>VLOOKUP(A104,#REF!,25,FALSE)</f>
        <v>#REF!</v>
      </c>
      <c r="AX104" s="133" t="str">
        <f>VLOOKUP(A104,'Lowe''s final SKU list'!$C$2:$Q$99,2,FALSE)</f>
        <v>YES</v>
      </c>
      <c r="AY104" s="135" t="str">
        <f>VLOOKUP(A104,'Main Data File'!$C$4:$U$146,16,FALSE)</f>
        <v>x</v>
      </c>
      <c r="AZ104" s="135" t="str">
        <f>VLOOKUP(A104,'Main Data File'!$C$4:$U$146,13,FALSE)</f>
        <v>x</v>
      </c>
      <c r="BA104" s="135" t="str">
        <f>VLOOKUP(A104,'Main Data File'!$C$4:$U$146,14,FALSE)</f>
        <v>x</v>
      </c>
      <c r="BB104" s="135" t="str">
        <f>VLOOKUP(A104,'Main Data File'!$C$4:$U$146,15,FALSE)</f>
        <v>x</v>
      </c>
    </row>
    <row r="105" spans="1:54" ht="54" customHeight="1">
      <c r="A105" s="16" t="s">
        <v>167</v>
      </c>
      <c r="B105" s="16" t="str">
        <f>VLOOKUP(A105,'Main Data File'!$C$4:$U$146,19,FALSE)</f>
        <v>Andy</v>
      </c>
      <c r="C105" s="16" t="s">
        <v>75</v>
      </c>
      <c r="D105" s="16" t="s">
        <v>76</v>
      </c>
      <c r="E105" s="129"/>
      <c r="F105" s="129" t="e">
        <v>#N/A</v>
      </c>
      <c r="G105" s="130">
        <f>VLOOKUP(A105,'Main Data File'!$C$4:$U$146,17,FALSE)</f>
        <v>2284</v>
      </c>
      <c r="H105" s="129"/>
      <c r="I105" s="12" t="str">
        <f>VLOOKUP(A105,'Main Data File'!$C$4:$U$146,2,FALSE)</f>
        <v>Push/Pull Drain Stopper CP</v>
      </c>
      <c r="J105" s="169" t="str">
        <f>VLOOKUP(A105,'Main Data File'!$C$4:$U$146,18,FALSE)</f>
        <v>Done.  Item is in Menards.</v>
      </c>
      <c r="K105" s="129" t="s">
        <v>71</v>
      </c>
      <c r="L105" s="129"/>
      <c r="M105" s="129"/>
      <c r="N105" s="129"/>
      <c r="O105" s="129">
        <f>VLOOKUP(A105,'Main Data File'!$C$4:$U$146,3,FALSE)</f>
        <v>4.375</v>
      </c>
      <c r="P105" s="129">
        <f>VLOOKUP(A105,'Main Data File'!$C$4:$U$146,5,FALSE)</f>
        <v>1.35</v>
      </c>
      <c r="Q105" s="129">
        <f>VLOOKUP(A105,'Main Data File'!$C$4:$U$146,4,FALSE)</f>
        <v>3.65</v>
      </c>
      <c r="R105" s="129">
        <f>VLOOKUP(A105,'Main Data File'!$C$4:$U$146,6,FALSE)</f>
        <v>0.03</v>
      </c>
      <c r="S105" s="131">
        <f>VLOOKUP(A105,'Main Data File'!$C$4:$U$146,7,FALSE)</f>
        <v>1.24755859375E-2</v>
      </c>
      <c r="T105" s="129" t="str">
        <f>VLOOKUP(A105,'Main Data File'!$C$4:$U$146,8,FALSE)</f>
        <v>Heat Formed Plastic</v>
      </c>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0"/>
      <c r="AQ105" s="132">
        <f>VLOOKUP(A105,'Main Data File'!$C$4:$U$146,10,FALSE)</f>
        <v>13720.000000000002</v>
      </c>
      <c r="AR105" s="133" t="e">
        <f>VLOOKUP(A105,#REF!,44,FALSE)</f>
        <v>#REF!</v>
      </c>
      <c r="AS105" s="133" t="e">
        <f>VLOOKUP(A105,#REF!,24,FALSE)</f>
        <v>#REF!</v>
      </c>
      <c r="AT105" s="129"/>
      <c r="AU105" s="134" t="e">
        <f t="shared" si="1"/>
        <v>#REF!</v>
      </c>
      <c r="AV105" s="139"/>
      <c r="AW105" s="133" t="e">
        <f>VLOOKUP(A105,#REF!,25,FALSE)</f>
        <v>#REF!</v>
      </c>
      <c r="AX105" s="133" t="str">
        <f>VLOOKUP(A105,'Lowe''s final SKU list'!$C$2:$Q$99,2,FALSE)</f>
        <v>YES</v>
      </c>
      <c r="AY105" s="135" t="str">
        <f>VLOOKUP(A105,'Main Data File'!$C$4:$U$146,16,FALSE)</f>
        <v>x</v>
      </c>
      <c r="AZ105" s="135" t="str">
        <f>VLOOKUP(A105,'Main Data File'!$C$4:$U$146,13,FALSE)</f>
        <v>x</v>
      </c>
      <c r="BA105" s="135" t="str">
        <f>VLOOKUP(A105,'Main Data File'!$C$4:$U$146,14,FALSE)</f>
        <v>x</v>
      </c>
      <c r="BB105" s="135" t="str">
        <f>VLOOKUP(A105,'Main Data File'!$C$4:$U$146,15,FALSE)</f>
        <v>x</v>
      </c>
    </row>
    <row r="106" spans="1:54" ht="54" customHeight="1">
      <c r="A106" s="16" t="s">
        <v>168</v>
      </c>
      <c r="B106" s="16" t="str">
        <f>VLOOKUP(A106,'Main Data File'!$C$4:$U$146,19,FALSE)</f>
        <v>Andy</v>
      </c>
      <c r="C106" s="16"/>
      <c r="D106" s="16"/>
      <c r="E106" s="129"/>
      <c r="F106" s="129" t="s">
        <v>1473</v>
      </c>
      <c r="G106" s="130" t="str">
        <f>VLOOKUP(A106,'Main Data File'!$C$4:$U$146,17,FALSE)</f>
        <v>2283B</v>
      </c>
      <c r="H106" s="129"/>
      <c r="I106" s="12" t="str">
        <f>VLOOKUP(A106,'Main Data File'!$C$4:$U$146,2,FALSE)</f>
        <v>Push/Pull Drain Bone</v>
      </c>
      <c r="J106" s="12" t="str">
        <f>VLOOKUP(A106,'Main Data File'!$C$4:$U$146,18,FALSE)</f>
        <v>Copy RVP074</v>
      </c>
      <c r="K106" s="129" t="s">
        <v>71</v>
      </c>
      <c r="L106" s="129"/>
      <c r="M106" s="129"/>
      <c r="N106" s="129"/>
      <c r="O106" s="129">
        <f>VLOOKUP(A106,'Main Data File'!$C$4:$U$146,3,FALSE)</f>
        <v>10.25</v>
      </c>
      <c r="P106" s="129">
        <f>VLOOKUP(A106,'Main Data File'!$C$4:$U$146,5,FALSE)</f>
        <v>2.38</v>
      </c>
      <c r="Q106" s="129">
        <f>VLOOKUP(A106,'Main Data File'!$C$4:$U$146,4,FALSE)</f>
        <v>3.65</v>
      </c>
      <c r="R106" s="129" t="str">
        <f>VLOOKUP(A106,'Main Data File'!$C$4:$U$146,6,FALSE)</f>
        <v>TBD</v>
      </c>
      <c r="S106" s="131" t="str">
        <f>VLOOKUP(A106,'Main Data File'!$C$4:$U$146,7,FALSE)</f>
        <v>TBD</v>
      </c>
      <c r="T106" s="129" t="str">
        <f>VLOOKUP(A106,'Main Data File'!$C$4:$U$146,8,FALSE)</f>
        <v>Heat Formed Plastic</v>
      </c>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0"/>
      <c r="AQ106" s="132">
        <f>VLOOKUP(A106,'Main Data File'!$C$4:$U$146,10,FALSE)</f>
        <v>12024.000000000002</v>
      </c>
      <c r="AR106" s="133" t="e">
        <f>VLOOKUP(A106,#REF!,44,FALSE)</f>
        <v>#REF!</v>
      </c>
      <c r="AS106" s="133" t="e">
        <f>VLOOKUP(A106,#REF!,24,FALSE)</f>
        <v>#REF!</v>
      </c>
      <c r="AT106" s="129"/>
      <c r="AU106" s="134" t="e">
        <f t="shared" si="1"/>
        <v>#REF!</v>
      </c>
      <c r="AV106" s="139"/>
      <c r="AW106" s="133" t="e">
        <f>VLOOKUP(A106,#REF!,25,FALSE)</f>
        <v>#REF!</v>
      </c>
      <c r="AX106" s="133" t="str">
        <f>VLOOKUP(A106,'Lowe''s final SKU list'!$C$2:$Q$99,2,FALSE)</f>
        <v>YES</v>
      </c>
      <c r="AY106" s="135" t="str">
        <f>VLOOKUP(A106,'Main Data File'!$C$4:$U$146,16,FALSE)</f>
        <v>x</v>
      </c>
      <c r="AZ106" s="135" t="str">
        <f>VLOOKUP(A106,'Main Data File'!$C$4:$U$146,13,FALSE)</f>
        <v>x</v>
      </c>
      <c r="BA106" s="135">
        <f>VLOOKUP(A106,'Main Data File'!$C$4:$U$146,14,FALSE)</f>
        <v>0</v>
      </c>
      <c r="BB106" s="135">
        <f>VLOOKUP(A106,'Main Data File'!$C$4:$U$146,15,FALSE)</f>
        <v>0</v>
      </c>
    </row>
    <row r="107" spans="1:54" ht="54" customHeight="1">
      <c r="A107" s="16" t="s">
        <v>169</v>
      </c>
      <c r="B107" s="16" t="str">
        <f>VLOOKUP(A107,'Main Data File'!$C$4:$U$146,19,FALSE)</f>
        <v>Andy</v>
      </c>
      <c r="C107" s="16"/>
      <c r="D107" s="16"/>
      <c r="E107" s="129"/>
      <c r="F107" s="129" t="s">
        <v>1474</v>
      </c>
      <c r="G107" s="130" t="str">
        <f>VLOOKUP(A107,'Main Data File'!$C$4:$U$146,17,FALSE)</f>
        <v>2284B</v>
      </c>
      <c r="H107" s="129"/>
      <c r="I107" s="12" t="str">
        <f>VLOOKUP(A107,'Main Data File'!$C$4:$U$146,2,FALSE)</f>
        <v>Push/Pull Drain Stopper Bone</v>
      </c>
      <c r="J107" s="12" t="str">
        <f>VLOOKUP(A107,'Main Data File'!$C$4:$U$146,18,FALSE)</f>
        <v>Copy RVP128</v>
      </c>
      <c r="K107" s="129" t="s">
        <v>71</v>
      </c>
      <c r="L107" s="129"/>
      <c r="M107" s="129"/>
      <c r="N107" s="129"/>
      <c r="O107" s="129">
        <f>VLOOKUP(A107,'Main Data File'!$C$4:$U$146,3,FALSE)</f>
        <v>4.375</v>
      </c>
      <c r="P107" s="129">
        <f>VLOOKUP(A107,'Main Data File'!$C$4:$U$146,5,FALSE)</f>
        <v>1.35</v>
      </c>
      <c r="Q107" s="129">
        <f>VLOOKUP(A107,'Main Data File'!$C$4:$U$146,4,FALSE)</f>
        <v>3.65</v>
      </c>
      <c r="R107" s="129">
        <f>VLOOKUP(A107,'Main Data File'!$C$4:$U$146,6,FALSE)</f>
        <v>0.03</v>
      </c>
      <c r="S107" s="131">
        <f>VLOOKUP(A107,'Main Data File'!$C$4:$U$146,7,FALSE)</f>
        <v>1.24755859375E-2</v>
      </c>
      <c r="T107" s="129" t="str">
        <f>VLOOKUP(A107,'Main Data File'!$C$4:$U$146,8,FALSE)</f>
        <v>Heat Formed Plastic</v>
      </c>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0"/>
      <c r="AQ107" s="132">
        <f>VLOOKUP(A107,'Main Data File'!$C$4:$U$146,10,FALSE)</f>
        <v>9018</v>
      </c>
      <c r="AR107" s="133" t="e">
        <f>VLOOKUP(A107,#REF!,44,FALSE)</f>
        <v>#REF!</v>
      </c>
      <c r="AS107" s="133" t="e">
        <f>VLOOKUP(A107,#REF!,24,FALSE)</f>
        <v>#REF!</v>
      </c>
      <c r="AT107" s="129"/>
      <c r="AU107" s="134" t="e">
        <f t="shared" si="1"/>
        <v>#REF!</v>
      </c>
      <c r="AV107" s="139"/>
      <c r="AW107" s="133" t="e">
        <f>VLOOKUP(A107,#REF!,25,FALSE)</f>
        <v>#REF!</v>
      </c>
      <c r="AX107" s="133" t="str">
        <f>VLOOKUP(A107,'Lowe''s final SKU list'!$C$2:$Q$99,2,FALSE)</f>
        <v>YES</v>
      </c>
      <c r="AY107" s="135" t="str">
        <f>VLOOKUP(A107,'Main Data File'!$C$4:$U$146,16,FALSE)</f>
        <v>x</v>
      </c>
      <c r="AZ107" s="135" t="str">
        <f>VLOOKUP(A107,'Main Data File'!$C$4:$U$146,13,FALSE)</f>
        <v>x</v>
      </c>
      <c r="BA107" s="135">
        <f>VLOOKUP(A107,'Main Data File'!$C$4:$U$146,14,FALSE)</f>
        <v>0</v>
      </c>
      <c r="BB107" s="135">
        <f>VLOOKUP(A107,'Main Data File'!$C$4:$U$146,15,FALSE)</f>
        <v>0</v>
      </c>
    </row>
    <row r="108" spans="1:54" ht="54" hidden="1" customHeight="1">
      <c r="A108" s="16" t="s">
        <v>451</v>
      </c>
      <c r="B108" s="16" t="str">
        <f>VLOOKUP(A108,'Main Data File'!$C$4:$U$146,19,FALSE)</f>
        <v>Boyd</v>
      </c>
      <c r="C108" s="16"/>
      <c r="D108" s="16"/>
      <c r="E108" s="129"/>
      <c r="F108" s="129" t="e">
        <v>#N/A</v>
      </c>
      <c r="G108" s="130" t="str">
        <f>VLOOKUP(A108,'Main Data File'!$C$4:$U$146,17,FALSE)</f>
        <v>E-162C</v>
      </c>
      <c r="H108" s="129"/>
      <c r="I108" s="12" t="str">
        <f>VLOOKUP(A108,'Main Data File'!$C$4:$U$146,2,FALSE)</f>
        <v>Duplex Receptical White</v>
      </c>
      <c r="J108" s="12" t="str">
        <f>VLOOKUP(A108,'Main Data File'!$C$4:$U$146,18,FALSE)</f>
        <v>Write from scratch</v>
      </c>
      <c r="K108" s="129" t="s">
        <v>71</v>
      </c>
      <c r="L108" s="129"/>
      <c r="M108" s="129"/>
      <c r="N108" s="129"/>
      <c r="O108" s="129">
        <f>VLOOKUP(A108,'Main Data File'!$C$4:$U$146,3,FALSE)</f>
        <v>5.7</v>
      </c>
      <c r="P108" s="129">
        <f>VLOOKUP(A108,'Main Data File'!$C$4:$U$146,5,FALSE)</f>
        <v>1.5</v>
      </c>
      <c r="Q108" s="129">
        <f>VLOOKUP(A108,'Main Data File'!$C$4:$U$146,4,FALSE)</f>
        <v>3.65</v>
      </c>
      <c r="R108" s="129">
        <f>VLOOKUP(A108,'Main Data File'!$C$4:$U$146,6,FALSE)</f>
        <v>0.3</v>
      </c>
      <c r="S108" s="131">
        <f>VLOOKUP(A108,'Main Data File'!$C$4:$U$146,7,FALSE)</f>
        <v>1.8059895833333332E-2</v>
      </c>
      <c r="T108" s="129" t="str">
        <f>VLOOKUP(A108,'Main Data File'!$C$4:$U$146,8,FALSE)</f>
        <v>Heat Formed Plastic</v>
      </c>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0"/>
      <c r="AQ108" s="132">
        <f>VLOOKUP(A108,'Main Data File'!$C$4:$U$146,10,FALSE)</f>
        <v>408</v>
      </c>
      <c r="AR108" s="133" t="e">
        <f>VLOOKUP(A108,#REF!,44,FALSE)</f>
        <v>#REF!</v>
      </c>
      <c r="AS108" s="133" t="e">
        <f>VLOOKUP(A108,#REF!,24,FALSE)</f>
        <v>#REF!</v>
      </c>
      <c r="AT108" s="129"/>
      <c r="AU108" s="134" t="e">
        <f t="shared" si="1"/>
        <v>#REF!</v>
      </c>
      <c r="AV108" s="139"/>
      <c r="AW108" s="133" t="e">
        <f>VLOOKUP(A108,#REF!,25,FALSE)</f>
        <v>#REF!</v>
      </c>
      <c r="AX108" s="133" t="e">
        <f>VLOOKUP(A108,'Lowe''s final SKU list'!$C$2:$Q$99,2,FALSE)</f>
        <v>#N/A</v>
      </c>
      <c r="AY108" s="135" t="str">
        <f>VLOOKUP(A108,'Main Data File'!$C$4:$U$146,16,FALSE)</f>
        <v>x</v>
      </c>
      <c r="AZ108" s="135">
        <f>VLOOKUP(A108,'Main Data File'!$C$4:$U$146,13,FALSE)</f>
        <v>0</v>
      </c>
      <c r="BA108" s="135">
        <f>VLOOKUP(A108,'Main Data File'!$C$4:$U$146,14,FALSE)</f>
        <v>0</v>
      </c>
      <c r="BB108" s="135">
        <f>VLOOKUP(A108,'Main Data File'!$C$4:$U$146,15,FALSE)</f>
        <v>0</v>
      </c>
    </row>
    <row r="109" spans="1:54" ht="54" hidden="1" customHeight="1">
      <c r="A109" s="17" t="s">
        <v>454</v>
      </c>
      <c r="B109" s="16" t="str">
        <f>VLOOKUP(A109,'Main Data File'!$C$4:$U$146,19,FALSE)</f>
        <v>Boyd</v>
      </c>
      <c r="C109" s="16"/>
      <c r="D109" s="16"/>
      <c r="E109" s="129"/>
      <c r="F109" s="129" t="e">
        <v>#N/A</v>
      </c>
      <c r="G109" s="130" t="str">
        <f>VLOOKUP(A109,'Main Data File'!$C$4:$U$146,17,FALSE)</f>
        <v>E-120C</v>
      </c>
      <c r="H109" s="129"/>
      <c r="I109" s="12" t="str">
        <f>VLOOKUP(A109,'Main Data File'!$C$4:$U$146,2,FALSE)</f>
        <v>Duplex Receptical White Decorator</v>
      </c>
      <c r="J109" s="12" t="str">
        <f>VLOOKUP(A109,'Main Data File'!$C$4:$U$146,18,FALSE)</f>
        <v>Write from scratch</v>
      </c>
      <c r="K109" s="129" t="s">
        <v>71</v>
      </c>
      <c r="L109" s="129"/>
      <c r="M109" s="129"/>
      <c r="N109" s="129"/>
      <c r="O109" s="129">
        <f>VLOOKUP(A109,'Main Data File'!$C$4:$U$146,3,FALSE)</f>
        <v>5.7</v>
      </c>
      <c r="P109" s="129">
        <f>VLOOKUP(A109,'Main Data File'!$C$4:$U$146,5,FALSE)</f>
        <v>1.5</v>
      </c>
      <c r="Q109" s="129">
        <f>VLOOKUP(A109,'Main Data File'!$C$4:$U$146,4,FALSE)</f>
        <v>3.65</v>
      </c>
      <c r="R109" s="129">
        <f>VLOOKUP(A109,'Main Data File'!$C$4:$U$146,6,FALSE)</f>
        <v>0.3</v>
      </c>
      <c r="S109" s="131">
        <f>VLOOKUP(A109,'Main Data File'!$C$4:$U$146,7,FALSE)</f>
        <v>1.8059895833333332E-2</v>
      </c>
      <c r="T109" s="129" t="str">
        <f>VLOOKUP(A109,'Main Data File'!$C$4:$U$146,8,FALSE)</f>
        <v>Heat Formed Plastic</v>
      </c>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1"/>
      <c r="AQ109" s="132">
        <f>VLOOKUP(A109,'Main Data File'!$C$4:$U$146,10,FALSE)</f>
        <v>544</v>
      </c>
      <c r="AR109" s="133" t="e">
        <f>VLOOKUP(A109,#REF!,44,FALSE)</f>
        <v>#REF!</v>
      </c>
      <c r="AS109" s="133" t="e">
        <f>VLOOKUP(A109,#REF!,24,FALSE)</f>
        <v>#REF!</v>
      </c>
      <c r="AT109" s="129"/>
      <c r="AU109" s="134" t="e">
        <f t="shared" si="1"/>
        <v>#REF!</v>
      </c>
      <c r="AV109" s="139"/>
      <c r="AW109" s="133" t="e">
        <f>VLOOKUP(A109,#REF!,25,FALSE)</f>
        <v>#REF!</v>
      </c>
      <c r="AX109" s="133" t="e">
        <f>VLOOKUP(A109,'Lowe''s final SKU list'!$C$2:$Q$99,2,FALSE)</f>
        <v>#N/A</v>
      </c>
      <c r="AY109" s="135" t="str">
        <f>VLOOKUP(A109,'Main Data File'!$C$4:$U$146,16,FALSE)</f>
        <v>x</v>
      </c>
      <c r="AZ109" s="135">
        <f>VLOOKUP(A109,'Main Data File'!$C$4:$U$146,13,FALSE)</f>
        <v>0</v>
      </c>
      <c r="BA109" s="135">
        <f>VLOOKUP(A109,'Main Data File'!$C$4:$U$146,14,FALSE)</f>
        <v>0</v>
      </c>
      <c r="BB109" s="135">
        <f>VLOOKUP(A109,'Main Data File'!$C$4:$U$146,15,FALSE)</f>
        <v>0</v>
      </c>
    </row>
    <row r="110" spans="1:54" ht="54" hidden="1" customHeight="1">
      <c r="A110" s="17" t="s">
        <v>457</v>
      </c>
      <c r="B110" s="16" t="str">
        <f>VLOOKUP(A110,'Main Data File'!$C$4:$U$146,19,FALSE)</f>
        <v>Boyd</v>
      </c>
      <c r="C110" s="16"/>
      <c r="D110" s="16"/>
      <c r="E110" s="129"/>
      <c r="F110" s="129" t="e">
        <v>#N/A</v>
      </c>
      <c r="G110" s="130" t="str">
        <f>VLOOKUP(A110,'Main Data File'!$C$4:$U$146,17,FALSE)</f>
        <v>E-119C</v>
      </c>
      <c r="H110" s="129"/>
      <c r="I110" s="12" t="str">
        <f>VLOOKUP(A110,'Main Data File'!$C$4:$U$146,2,FALSE)</f>
        <v>Décor Switch White</v>
      </c>
      <c r="J110" s="12" t="str">
        <f>VLOOKUP(A110,'Main Data File'!$C$4:$U$146,18,FALSE)</f>
        <v>Write from scratch</v>
      </c>
      <c r="K110" s="129" t="s">
        <v>71</v>
      </c>
      <c r="L110" s="129"/>
      <c r="M110" s="129"/>
      <c r="N110" s="129"/>
      <c r="O110" s="129">
        <f>VLOOKUP(A110,'Main Data File'!$C$4:$U$146,3,FALSE)</f>
        <v>5.7</v>
      </c>
      <c r="P110" s="129">
        <f>VLOOKUP(A110,'Main Data File'!$C$4:$U$146,5,FALSE)</f>
        <v>1.5</v>
      </c>
      <c r="Q110" s="129">
        <f>VLOOKUP(A110,'Main Data File'!$C$4:$U$146,4,FALSE)</f>
        <v>3.65</v>
      </c>
      <c r="R110" s="129">
        <f>VLOOKUP(A110,'Main Data File'!$C$4:$U$146,6,FALSE)</f>
        <v>0.3</v>
      </c>
      <c r="S110" s="131">
        <f>VLOOKUP(A110,'Main Data File'!$C$4:$U$146,7,FALSE)</f>
        <v>1.8059895833333332E-2</v>
      </c>
      <c r="T110" s="129" t="str">
        <f>VLOOKUP(A110,'Main Data File'!$C$4:$U$146,8,FALSE)</f>
        <v>Heat Formed Plastic</v>
      </c>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1"/>
      <c r="AQ110" s="132">
        <f>VLOOKUP(A110,'Main Data File'!$C$4:$U$146,10,FALSE)</f>
        <v>680.00000000000011</v>
      </c>
      <c r="AR110" s="133" t="e">
        <f>VLOOKUP(A110,#REF!,44,FALSE)</f>
        <v>#REF!</v>
      </c>
      <c r="AS110" s="133" t="e">
        <f>VLOOKUP(A110,#REF!,24,FALSE)</f>
        <v>#REF!</v>
      </c>
      <c r="AT110" s="129"/>
      <c r="AU110" s="134" t="e">
        <f t="shared" si="1"/>
        <v>#REF!</v>
      </c>
      <c r="AV110" s="139"/>
      <c r="AW110" s="133" t="e">
        <f>VLOOKUP(A110,#REF!,25,FALSE)</f>
        <v>#REF!</v>
      </c>
      <c r="AX110" s="133" t="e">
        <f>VLOOKUP(A110,'Lowe''s final SKU list'!$C$2:$Q$99,2,FALSE)</f>
        <v>#N/A</v>
      </c>
      <c r="AY110" s="135" t="str">
        <f>VLOOKUP(A110,'Main Data File'!$C$4:$U$146,16,FALSE)</f>
        <v>x</v>
      </c>
      <c r="AZ110" s="135">
        <f>VLOOKUP(A110,'Main Data File'!$C$4:$U$146,13,FALSE)</f>
        <v>0</v>
      </c>
      <c r="BA110" s="135">
        <f>VLOOKUP(A110,'Main Data File'!$C$4:$U$146,14,FALSE)</f>
        <v>0</v>
      </c>
      <c r="BB110" s="135">
        <f>VLOOKUP(A110,'Main Data File'!$C$4:$U$146,15,FALSE)</f>
        <v>0</v>
      </c>
    </row>
    <row r="111" spans="1:54" ht="54" hidden="1" customHeight="1">
      <c r="A111" s="17" t="s">
        <v>459</v>
      </c>
      <c r="B111" s="16" t="str">
        <f>VLOOKUP(A111,'Main Data File'!$C$4:$U$146,19,FALSE)</f>
        <v>Boyd</v>
      </c>
      <c r="C111" s="16"/>
      <c r="D111" s="16"/>
      <c r="E111" s="129"/>
      <c r="F111" s="129" t="e">
        <v>#N/A</v>
      </c>
      <c r="G111" s="130" t="str">
        <f>VLOOKUP(A111,'Main Data File'!$C$4:$U$146,17,FALSE)</f>
        <v>E-100C</v>
      </c>
      <c r="H111" s="129"/>
      <c r="I111" s="12" t="str">
        <f>VLOOKUP(A111,'Main Data File'!$C$4:$U$146,2,FALSE)</f>
        <v>Décor Switch Ivory</v>
      </c>
      <c r="J111" s="12" t="str">
        <f>VLOOKUP(A111,'Main Data File'!$C$4:$U$146,18,FALSE)</f>
        <v>Write from scratch</v>
      </c>
      <c r="K111" s="129" t="s">
        <v>71</v>
      </c>
      <c r="L111" s="129"/>
      <c r="M111" s="129"/>
      <c r="N111" s="129"/>
      <c r="O111" s="129">
        <f>VLOOKUP(A111,'Main Data File'!$C$4:$U$146,3,FALSE)</f>
        <v>5.7</v>
      </c>
      <c r="P111" s="129">
        <f>VLOOKUP(A111,'Main Data File'!$C$4:$U$146,5,FALSE)</f>
        <v>1.5</v>
      </c>
      <c r="Q111" s="129">
        <f>VLOOKUP(A111,'Main Data File'!$C$4:$U$146,4,FALSE)</f>
        <v>3.65</v>
      </c>
      <c r="R111" s="129">
        <f>VLOOKUP(A111,'Main Data File'!$C$4:$U$146,6,FALSE)</f>
        <v>0.3</v>
      </c>
      <c r="S111" s="131">
        <f>VLOOKUP(A111,'Main Data File'!$C$4:$U$146,7,FALSE)</f>
        <v>1.8059895833333332E-2</v>
      </c>
      <c r="T111" s="129" t="str">
        <f>VLOOKUP(A111,'Main Data File'!$C$4:$U$146,8,FALSE)</f>
        <v>Heat Formed Plastic</v>
      </c>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1"/>
      <c r="AQ111" s="132">
        <f>VLOOKUP(A111,'Main Data File'!$C$4:$U$146,10,FALSE)</f>
        <v>544</v>
      </c>
      <c r="AR111" s="133" t="e">
        <f>VLOOKUP(A111,#REF!,44,FALSE)</f>
        <v>#REF!</v>
      </c>
      <c r="AS111" s="133" t="e">
        <f>VLOOKUP(A111,#REF!,24,FALSE)</f>
        <v>#REF!</v>
      </c>
      <c r="AT111" s="129"/>
      <c r="AU111" s="134" t="e">
        <f t="shared" si="1"/>
        <v>#REF!</v>
      </c>
      <c r="AV111" s="139"/>
      <c r="AW111" s="133" t="e">
        <f>VLOOKUP(A111,#REF!,25,FALSE)</f>
        <v>#REF!</v>
      </c>
      <c r="AX111" s="133" t="e">
        <f>VLOOKUP(A111,'Lowe''s final SKU list'!$C$2:$Q$99,2,FALSE)</f>
        <v>#N/A</v>
      </c>
      <c r="AY111" s="135" t="str">
        <f>VLOOKUP(A111,'Main Data File'!$C$4:$U$146,16,FALSE)</f>
        <v>x</v>
      </c>
      <c r="AZ111" s="135">
        <f>VLOOKUP(A111,'Main Data File'!$C$4:$U$146,13,FALSE)</f>
        <v>0</v>
      </c>
      <c r="BA111" s="135">
        <f>VLOOKUP(A111,'Main Data File'!$C$4:$U$146,14,FALSE)</f>
        <v>0</v>
      </c>
      <c r="BB111" s="135">
        <f>VLOOKUP(A111,'Main Data File'!$C$4:$U$146,15,FALSE)</f>
        <v>0</v>
      </c>
    </row>
    <row r="112" spans="1:54" ht="54" hidden="1" customHeight="1">
      <c r="A112" s="16" t="s">
        <v>462</v>
      </c>
      <c r="B112" s="16" t="str">
        <f>VLOOKUP(A112,'Main Data File'!$C$4:$U$146,19,FALSE)</f>
        <v>Boyd</v>
      </c>
      <c r="C112" s="16"/>
      <c r="D112" s="16"/>
      <c r="E112" s="129"/>
      <c r="F112" s="129" t="e">
        <v>#N/A</v>
      </c>
      <c r="G112" s="130" t="str">
        <f>VLOOKUP(A112,'Main Data File'!$C$4:$U$146,17,FALSE)</f>
        <v>E-160C</v>
      </c>
      <c r="H112" s="129"/>
      <c r="I112" s="12" t="str">
        <f>VLOOKUP(A112,'Main Data File'!$C$4:$U$146,2,FALSE)</f>
        <v>Standard Switch White</v>
      </c>
      <c r="J112" s="12" t="str">
        <f>VLOOKUP(A112,'Main Data File'!$C$4:$U$146,18,FALSE)</f>
        <v>Write from scratch</v>
      </c>
      <c r="K112" s="129" t="s">
        <v>71</v>
      </c>
      <c r="L112" s="129"/>
      <c r="M112" s="129"/>
      <c r="N112" s="129"/>
      <c r="O112" s="129">
        <f>VLOOKUP(A112,'Main Data File'!$C$4:$U$146,3,FALSE)</f>
        <v>5.7</v>
      </c>
      <c r="P112" s="129">
        <f>VLOOKUP(A112,'Main Data File'!$C$4:$U$146,5,FALSE)</f>
        <v>1.5</v>
      </c>
      <c r="Q112" s="129">
        <f>VLOOKUP(A112,'Main Data File'!$C$4:$U$146,4,FALSE)</f>
        <v>3.65</v>
      </c>
      <c r="R112" s="129">
        <f>VLOOKUP(A112,'Main Data File'!$C$4:$U$146,6,FALSE)</f>
        <v>0.3</v>
      </c>
      <c r="S112" s="131">
        <f>VLOOKUP(A112,'Main Data File'!$C$4:$U$146,7,FALSE)</f>
        <v>1.8059895833333332E-2</v>
      </c>
      <c r="T112" s="129" t="str">
        <f>VLOOKUP(A112,'Main Data File'!$C$4:$U$146,8,FALSE)</f>
        <v>Heat Formed Plastic</v>
      </c>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0"/>
      <c r="AQ112" s="132">
        <f>VLOOKUP(A112,'Main Data File'!$C$4:$U$146,10,FALSE)</f>
        <v>408</v>
      </c>
      <c r="AR112" s="133" t="e">
        <f>VLOOKUP(A112,#REF!,44,FALSE)</f>
        <v>#REF!</v>
      </c>
      <c r="AS112" s="133" t="e">
        <f>VLOOKUP(A112,#REF!,24,FALSE)</f>
        <v>#REF!</v>
      </c>
      <c r="AT112" s="129"/>
      <c r="AU112" s="134" t="e">
        <f t="shared" si="1"/>
        <v>#REF!</v>
      </c>
      <c r="AV112" s="139"/>
      <c r="AW112" s="133" t="e">
        <f>VLOOKUP(A112,#REF!,25,FALSE)</f>
        <v>#REF!</v>
      </c>
      <c r="AX112" s="133" t="e">
        <f>VLOOKUP(A112,'Lowe''s final SKU list'!$C$2:$Q$99,2,FALSE)</f>
        <v>#N/A</v>
      </c>
      <c r="AY112" s="135" t="str">
        <f>VLOOKUP(A112,'Main Data File'!$C$4:$U$146,16,FALSE)</f>
        <v>x</v>
      </c>
      <c r="AZ112" s="135">
        <f>VLOOKUP(A112,'Main Data File'!$C$4:$U$146,13,FALSE)</f>
        <v>0</v>
      </c>
      <c r="BA112" s="135">
        <f>VLOOKUP(A112,'Main Data File'!$C$4:$U$146,14,FALSE)</f>
        <v>0</v>
      </c>
      <c r="BB112" s="135">
        <f>VLOOKUP(A112,'Main Data File'!$C$4:$U$146,15,FALSE)</f>
        <v>0</v>
      </c>
    </row>
    <row r="113" spans="1:54" ht="54" hidden="1" customHeight="1">
      <c r="A113" s="16" t="s">
        <v>465</v>
      </c>
      <c r="B113" s="16" t="str">
        <f>VLOOKUP(A113,'Main Data File'!$C$4:$U$146,19,FALSE)</f>
        <v>Boyd</v>
      </c>
      <c r="C113" s="16"/>
      <c r="D113" s="16"/>
      <c r="E113" s="129"/>
      <c r="F113" s="129" t="e">
        <v>#N/A</v>
      </c>
      <c r="G113" s="130" t="str">
        <f>VLOOKUP(A113,'Main Data File'!$C$4:$U$146,17,FALSE)</f>
        <v>E-163C</v>
      </c>
      <c r="H113" s="129"/>
      <c r="I113" s="12" t="str">
        <f>VLOOKUP(A113,'Main Data File'!$C$4:$U$146,2,FALSE)</f>
        <v>1 Gang Face Plate White</v>
      </c>
      <c r="J113" s="12" t="str">
        <f>VLOOKUP(A113,'Main Data File'!$C$4:$U$146,18,FALSE)</f>
        <v>Write from scratch</v>
      </c>
      <c r="K113" s="129" t="s">
        <v>71</v>
      </c>
      <c r="L113" s="129"/>
      <c r="M113" s="129"/>
      <c r="N113" s="129"/>
      <c r="O113" s="129">
        <f>VLOOKUP(A113,'Main Data File'!$C$4:$U$146,3,FALSE)</f>
        <v>5.7</v>
      </c>
      <c r="P113" s="129">
        <f>VLOOKUP(A113,'Main Data File'!$C$4:$U$146,5,FALSE)</f>
        <v>0.5</v>
      </c>
      <c r="Q113" s="129">
        <f>VLOOKUP(A113,'Main Data File'!$C$4:$U$146,4,FALSE)</f>
        <v>3.65</v>
      </c>
      <c r="R113" s="129">
        <f>VLOOKUP(A113,'Main Data File'!$C$4:$U$146,6,FALSE)</f>
        <v>0.1</v>
      </c>
      <c r="S113" s="131">
        <f>VLOOKUP(A113,'Main Data File'!$C$4:$U$146,7,FALSE)</f>
        <v>6.0199652777777777E-3</v>
      </c>
      <c r="T113" s="129" t="str">
        <f>VLOOKUP(A113,'Main Data File'!$C$4:$U$146,8,FALSE)</f>
        <v>Heat Formed Plastic</v>
      </c>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0"/>
      <c r="AQ113" s="132">
        <f>VLOOKUP(A113,'Main Data File'!$C$4:$U$146,10,FALSE)</f>
        <v>408</v>
      </c>
      <c r="AR113" s="133" t="e">
        <f>VLOOKUP(A113,#REF!,44,FALSE)</f>
        <v>#REF!</v>
      </c>
      <c r="AS113" s="133" t="e">
        <f>VLOOKUP(A113,#REF!,24,FALSE)</f>
        <v>#REF!</v>
      </c>
      <c r="AT113" s="129"/>
      <c r="AU113" s="134" t="e">
        <f t="shared" si="1"/>
        <v>#REF!</v>
      </c>
      <c r="AV113" s="139"/>
      <c r="AW113" s="133" t="e">
        <f>VLOOKUP(A113,#REF!,25,FALSE)</f>
        <v>#REF!</v>
      </c>
      <c r="AX113" s="133" t="e">
        <f>VLOOKUP(A113,'Lowe''s final SKU list'!$C$2:$Q$99,2,FALSE)</f>
        <v>#N/A</v>
      </c>
      <c r="AY113" s="135" t="str">
        <f>VLOOKUP(A113,'Main Data File'!$C$4:$U$146,16,FALSE)</f>
        <v>x</v>
      </c>
      <c r="AZ113" s="135">
        <f>VLOOKUP(A113,'Main Data File'!$C$4:$U$146,13,FALSE)</f>
        <v>0</v>
      </c>
      <c r="BA113" s="135">
        <f>VLOOKUP(A113,'Main Data File'!$C$4:$U$146,14,FALSE)</f>
        <v>0</v>
      </c>
      <c r="BB113" s="135">
        <f>VLOOKUP(A113,'Main Data File'!$C$4:$U$146,15,FALSE)</f>
        <v>0</v>
      </c>
    </row>
    <row r="114" spans="1:54" ht="54" hidden="1" customHeight="1">
      <c r="A114" s="16" t="s">
        <v>468</v>
      </c>
      <c r="B114" s="16" t="str">
        <f>VLOOKUP(A114,'Main Data File'!$C$4:$U$146,19,FALSE)</f>
        <v>Boyd</v>
      </c>
      <c r="C114" s="16"/>
      <c r="D114" s="16"/>
      <c r="E114" s="129"/>
      <c r="F114" s="129" t="e">
        <v>#N/A</v>
      </c>
      <c r="G114" s="130" t="str">
        <f>VLOOKUP(A114,'Main Data File'!$C$4:$U$146,17,FALSE)</f>
        <v>E-122C</v>
      </c>
      <c r="H114" s="129"/>
      <c r="I114" s="12" t="str">
        <f>VLOOKUP(A114,'Main Data File'!$C$4:$U$146,2,FALSE)</f>
        <v>Décor Face Plate White</v>
      </c>
      <c r="J114" s="12" t="str">
        <f>VLOOKUP(A114,'Main Data File'!$C$4:$U$146,18,FALSE)</f>
        <v>Write from scratch</v>
      </c>
      <c r="K114" s="129" t="s">
        <v>71</v>
      </c>
      <c r="L114" s="129"/>
      <c r="M114" s="129"/>
      <c r="N114" s="129"/>
      <c r="O114" s="129">
        <f>VLOOKUP(A114,'Main Data File'!$C$4:$U$146,3,FALSE)</f>
        <v>5.7</v>
      </c>
      <c r="P114" s="129">
        <f>VLOOKUP(A114,'Main Data File'!$C$4:$U$146,5,FALSE)</f>
        <v>0.5</v>
      </c>
      <c r="Q114" s="129">
        <f>VLOOKUP(A114,'Main Data File'!$C$4:$U$146,4,FALSE)</f>
        <v>3.65</v>
      </c>
      <c r="R114" s="129">
        <f>VLOOKUP(A114,'Main Data File'!$C$4:$U$146,6,FALSE)</f>
        <v>0.1</v>
      </c>
      <c r="S114" s="131">
        <f>VLOOKUP(A114,'Main Data File'!$C$4:$U$146,7,FALSE)</f>
        <v>6.0199652777777777E-3</v>
      </c>
      <c r="T114" s="129" t="str">
        <f>VLOOKUP(A114,'Main Data File'!$C$4:$U$146,8,FALSE)</f>
        <v>Heat Formed Plastic</v>
      </c>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0"/>
      <c r="AQ114" s="132">
        <f>VLOOKUP(A114,'Main Data File'!$C$4:$U$146,10,FALSE)</f>
        <v>680.00000000000011</v>
      </c>
      <c r="AR114" s="133" t="e">
        <f>VLOOKUP(A114,#REF!,44,FALSE)</f>
        <v>#REF!</v>
      </c>
      <c r="AS114" s="133" t="e">
        <f>VLOOKUP(A114,#REF!,24,FALSE)</f>
        <v>#REF!</v>
      </c>
      <c r="AT114" s="129"/>
      <c r="AU114" s="134" t="e">
        <f t="shared" si="1"/>
        <v>#REF!</v>
      </c>
      <c r="AV114" s="139"/>
      <c r="AW114" s="133" t="e">
        <f>VLOOKUP(A114,#REF!,25,FALSE)</f>
        <v>#REF!</v>
      </c>
      <c r="AX114" s="133" t="e">
        <f>VLOOKUP(A114,'Lowe''s final SKU list'!$C$2:$Q$99,2,FALSE)</f>
        <v>#N/A</v>
      </c>
      <c r="AY114" s="135" t="str">
        <f>VLOOKUP(A114,'Main Data File'!$C$4:$U$146,16,FALSE)</f>
        <v>x</v>
      </c>
      <c r="AZ114" s="135">
        <f>VLOOKUP(A114,'Main Data File'!$C$4:$U$146,13,FALSE)</f>
        <v>0</v>
      </c>
      <c r="BA114" s="135">
        <f>VLOOKUP(A114,'Main Data File'!$C$4:$U$146,14,FALSE)</f>
        <v>0</v>
      </c>
      <c r="BB114" s="135">
        <f>VLOOKUP(A114,'Main Data File'!$C$4:$U$146,15,FALSE)</f>
        <v>0</v>
      </c>
    </row>
    <row r="115" spans="1:54" ht="54" hidden="1" customHeight="1">
      <c r="A115" s="16" t="s">
        <v>471</v>
      </c>
      <c r="B115" s="16" t="str">
        <f>VLOOKUP(A115,'Main Data File'!$C$4:$U$146,19,FALSE)</f>
        <v>Boyd</v>
      </c>
      <c r="C115" s="16"/>
      <c r="D115" s="16"/>
      <c r="E115" s="129"/>
      <c r="F115" s="129" t="e">
        <v>#N/A</v>
      </c>
      <c r="G115" s="130" t="str">
        <f>VLOOKUP(A115,'Main Data File'!$C$4:$U$146,17,FALSE)</f>
        <v>E-104C</v>
      </c>
      <c r="H115" s="129"/>
      <c r="I115" s="12" t="str">
        <f>VLOOKUP(A115,'Main Data File'!$C$4:$U$146,2,FALSE)</f>
        <v>Décor Face Plate Ivory</v>
      </c>
      <c r="J115" s="12" t="str">
        <f>VLOOKUP(A115,'Main Data File'!$C$4:$U$146,18,FALSE)</f>
        <v>Write from scratch</v>
      </c>
      <c r="K115" s="129" t="s">
        <v>71</v>
      </c>
      <c r="L115" s="129"/>
      <c r="M115" s="129"/>
      <c r="N115" s="129"/>
      <c r="O115" s="129">
        <f>VLOOKUP(A115,'Main Data File'!$C$4:$U$146,3,FALSE)</f>
        <v>5.7</v>
      </c>
      <c r="P115" s="129">
        <f>VLOOKUP(A115,'Main Data File'!$C$4:$U$146,5,FALSE)</f>
        <v>0.5</v>
      </c>
      <c r="Q115" s="129">
        <f>VLOOKUP(A115,'Main Data File'!$C$4:$U$146,4,FALSE)</f>
        <v>3.65</v>
      </c>
      <c r="R115" s="129">
        <f>VLOOKUP(A115,'Main Data File'!$C$4:$U$146,6,FALSE)</f>
        <v>0.1</v>
      </c>
      <c r="S115" s="131">
        <f>VLOOKUP(A115,'Main Data File'!$C$4:$U$146,7,FALSE)</f>
        <v>6.0199652777777777E-3</v>
      </c>
      <c r="T115" s="129" t="str">
        <f>VLOOKUP(A115,'Main Data File'!$C$4:$U$146,8,FALSE)</f>
        <v>Heat Formed Plastic</v>
      </c>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0"/>
      <c r="AQ115" s="132">
        <f>VLOOKUP(A115,'Main Data File'!$C$4:$U$146,10,FALSE)</f>
        <v>476</v>
      </c>
      <c r="AR115" s="133" t="e">
        <f>VLOOKUP(A115,#REF!,44,FALSE)</f>
        <v>#REF!</v>
      </c>
      <c r="AS115" s="133" t="e">
        <f>VLOOKUP(A115,#REF!,24,FALSE)</f>
        <v>#REF!</v>
      </c>
      <c r="AT115" s="129"/>
      <c r="AU115" s="134" t="e">
        <f t="shared" si="1"/>
        <v>#REF!</v>
      </c>
      <c r="AV115" s="139"/>
      <c r="AW115" s="133" t="e">
        <f>VLOOKUP(A115,#REF!,25,FALSE)</f>
        <v>#REF!</v>
      </c>
      <c r="AX115" s="133" t="e">
        <f>VLOOKUP(A115,'Lowe''s final SKU list'!$C$2:$Q$99,2,FALSE)</f>
        <v>#N/A</v>
      </c>
      <c r="AY115" s="135" t="str">
        <f>VLOOKUP(A115,'Main Data File'!$C$4:$U$146,16,FALSE)</f>
        <v>x</v>
      </c>
      <c r="AZ115" s="135">
        <f>VLOOKUP(A115,'Main Data File'!$C$4:$U$146,13,FALSE)</f>
        <v>0</v>
      </c>
      <c r="BA115" s="135">
        <f>VLOOKUP(A115,'Main Data File'!$C$4:$U$146,14,FALSE)</f>
        <v>0</v>
      </c>
      <c r="BB115" s="135">
        <f>VLOOKUP(A115,'Main Data File'!$C$4:$U$146,15,FALSE)</f>
        <v>0</v>
      </c>
    </row>
    <row r="116" spans="1:54" ht="54" hidden="1" customHeight="1">
      <c r="A116" s="16" t="s">
        <v>474</v>
      </c>
      <c r="B116" s="16" t="str">
        <f>VLOOKUP(A116,'Main Data File'!$C$4:$U$146,19,FALSE)</f>
        <v>Boyd</v>
      </c>
      <c r="C116" s="16"/>
      <c r="D116" s="16"/>
      <c r="E116" s="129"/>
      <c r="F116" s="129" t="e">
        <v>#N/A</v>
      </c>
      <c r="G116" s="130" t="str">
        <f>VLOOKUP(A116,'Main Data File'!$C$4:$U$146,17,FALSE)</f>
        <v>E-161C</v>
      </c>
      <c r="H116" s="129"/>
      <c r="I116" s="12" t="str">
        <f>VLOOKUP(A116,'Main Data File'!$C$4:$U$146,2,FALSE)</f>
        <v>Standard Switch Plate White</v>
      </c>
      <c r="J116" s="12" t="str">
        <f>VLOOKUP(A116,'Main Data File'!$C$4:$U$146,18,FALSE)</f>
        <v>Write from scratch</v>
      </c>
      <c r="K116" s="129" t="s">
        <v>71</v>
      </c>
      <c r="L116" s="129"/>
      <c r="M116" s="129"/>
      <c r="N116" s="129"/>
      <c r="O116" s="129">
        <f>VLOOKUP(A116,'Main Data File'!$C$4:$U$146,3,FALSE)</f>
        <v>5.7</v>
      </c>
      <c r="P116" s="129">
        <f>VLOOKUP(A116,'Main Data File'!$C$4:$U$146,5,FALSE)</f>
        <v>0.5</v>
      </c>
      <c r="Q116" s="129">
        <f>VLOOKUP(A116,'Main Data File'!$C$4:$U$146,4,FALSE)</f>
        <v>3.65</v>
      </c>
      <c r="R116" s="129">
        <f>VLOOKUP(A116,'Main Data File'!$C$4:$U$146,6,FALSE)</f>
        <v>0.1</v>
      </c>
      <c r="S116" s="131">
        <f>VLOOKUP(A116,'Main Data File'!$C$4:$U$146,7,FALSE)</f>
        <v>6.0199652777777777E-3</v>
      </c>
      <c r="T116" s="129" t="str">
        <f>VLOOKUP(A116,'Main Data File'!$C$4:$U$146,8,FALSE)</f>
        <v>Heat Formed Plastic</v>
      </c>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0"/>
      <c r="AQ116" s="132">
        <f>VLOOKUP(A116,'Main Data File'!$C$4:$U$146,10,FALSE)</f>
        <v>408</v>
      </c>
      <c r="AR116" s="133" t="e">
        <f>VLOOKUP(A116,#REF!,44,FALSE)</f>
        <v>#REF!</v>
      </c>
      <c r="AS116" s="133" t="e">
        <f>VLOOKUP(A116,#REF!,24,FALSE)</f>
        <v>#REF!</v>
      </c>
      <c r="AT116" s="129"/>
      <c r="AU116" s="134" t="e">
        <f t="shared" si="1"/>
        <v>#REF!</v>
      </c>
      <c r="AV116" s="139"/>
      <c r="AW116" s="133" t="e">
        <f>VLOOKUP(A116,#REF!,25,FALSE)</f>
        <v>#REF!</v>
      </c>
      <c r="AX116" s="133" t="e">
        <f>VLOOKUP(A116,'Lowe''s final SKU list'!$C$2:$Q$99,2,FALSE)</f>
        <v>#N/A</v>
      </c>
      <c r="AY116" s="135" t="str">
        <f>VLOOKUP(A116,'Main Data File'!$C$4:$U$146,16,FALSE)</f>
        <v>x</v>
      </c>
      <c r="AZ116" s="135">
        <f>VLOOKUP(A116,'Main Data File'!$C$4:$U$146,13,FALSE)</f>
        <v>0</v>
      </c>
      <c r="BA116" s="135">
        <f>VLOOKUP(A116,'Main Data File'!$C$4:$U$146,14,FALSE)</f>
        <v>0</v>
      </c>
      <c r="BB116" s="135">
        <f>VLOOKUP(A116,'Main Data File'!$C$4:$U$146,15,FALSE)</f>
        <v>0</v>
      </c>
    </row>
    <row r="117" spans="1:54" ht="54" customHeight="1">
      <c r="A117" s="16" t="s">
        <v>170</v>
      </c>
      <c r="B117" s="16" t="str">
        <f>VLOOKUP(A117,'Main Data File'!$C$4:$U$146,19,FALSE)</f>
        <v>Andy</v>
      </c>
      <c r="C117" s="16"/>
      <c r="D117" s="16"/>
      <c r="E117" s="129"/>
      <c r="F117" s="129" t="e">
        <v>#N/A</v>
      </c>
      <c r="G117" s="130" t="str">
        <f>VLOOKUP(A117,'Main Data File'!$C$4:$U$146,17,FALSE)</f>
        <v>RV-509B</v>
      </c>
      <c r="H117" s="129"/>
      <c r="I117" s="12" t="str">
        <f>VLOOKUP(A117,'Main Data File'!$C$4:$U$146,2,FALSE)</f>
        <v>Black RV Sewer Cap 3"</v>
      </c>
      <c r="J117" s="12" t="str">
        <f>VLOOKUP(A117,'Main Data File'!$C$4:$U$146,18,FALSE)</f>
        <v>Write from scratch</v>
      </c>
      <c r="K117" s="129" t="s">
        <v>71</v>
      </c>
      <c r="L117" s="129"/>
      <c r="M117" s="129"/>
      <c r="N117" s="129"/>
      <c r="O117" s="129">
        <f>VLOOKUP(A117,'Main Data File'!$C$4:$U$146,3,FALSE)</f>
        <v>7.375</v>
      </c>
      <c r="P117" s="129">
        <f>VLOOKUP(A117,'Main Data File'!$C$4:$U$146,5,FALSE)</f>
        <v>2</v>
      </c>
      <c r="Q117" s="129">
        <f>VLOOKUP(A117,'Main Data File'!$C$4:$U$146,4,FALSE)</f>
        <v>4.875</v>
      </c>
      <c r="R117" s="129">
        <f>VLOOKUP(A117,'Main Data File'!$C$4:$U$146,6,FALSE)</f>
        <v>0.2</v>
      </c>
      <c r="S117" s="131">
        <f>VLOOKUP(A117,'Main Data File'!$C$4:$U$146,7,FALSE)</f>
        <v>4.1612413194444448E-2</v>
      </c>
      <c r="T117" s="129" t="str">
        <f>VLOOKUP(A117,'Main Data File'!$C$4:$U$146,8,FALSE)</f>
        <v>Heat Formed Plastic</v>
      </c>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0"/>
      <c r="AQ117" s="132">
        <f>VLOOKUP(A117,'Main Data File'!$C$4:$U$146,10,FALSE)</f>
        <v>12792</v>
      </c>
      <c r="AR117" s="133" t="e">
        <f>VLOOKUP(A117,#REF!,44,FALSE)</f>
        <v>#REF!</v>
      </c>
      <c r="AS117" s="133" t="e">
        <f>VLOOKUP(A117,#REF!,24,FALSE)</f>
        <v>#REF!</v>
      </c>
      <c r="AT117" s="129"/>
      <c r="AU117" s="134" t="e">
        <f t="shared" si="1"/>
        <v>#REF!</v>
      </c>
      <c r="AV117" s="139">
        <v>8200</v>
      </c>
      <c r="AW117" s="133" t="e">
        <f>VLOOKUP(A117,#REF!,25,FALSE)</f>
        <v>#REF!</v>
      </c>
      <c r="AX117" s="133" t="str">
        <f>VLOOKUP(A117,'Lowe''s final SKU list'!$C$2:$Q$99,2,FALSE)</f>
        <v>YES</v>
      </c>
      <c r="AY117" s="135" t="str">
        <f>VLOOKUP(A117,'Main Data File'!$C$4:$U$146,16,FALSE)</f>
        <v>x</v>
      </c>
      <c r="AZ117" s="135" t="str">
        <f>VLOOKUP(A117,'Main Data File'!$C$4:$U$146,13,FALSE)</f>
        <v>x</v>
      </c>
      <c r="BA117" s="135">
        <f>VLOOKUP(A117,'Main Data File'!$C$4:$U$146,14,FALSE)</f>
        <v>0</v>
      </c>
      <c r="BB117" s="135" t="str">
        <f>VLOOKUP(A117,'Main Data File'!$C$4:$U$146,15,FALSE)</f>
        <v>x</v>
      </c>
    </row>
    <row r="118" spans="1:54" ht="54" customHeight="1">
      <c r="A118" s="16" t="s">
        <v>171</v>
      </c>
      <c r="B118" s="16" t="str">
        <f>VLOOKUP(A118,'Main Data File'!$C$4:$U$146,19,FALSE)</f>
        <v>Andy</v>
      </c>
      <c r="C118" s="16"/>
      <c r="D118" s="16"/>
      <c r="E118" s="129"/>
      <c r="F118" s="129" t="e">
        <v>#N/A</v>
      </c>
      <c r="G118" s="130" t="str">
        <f>VLOOKUP(A118,'Main Data File'!$C$4:$U$146,17,FALSE)</f>
        <v>RV-309B</v>
      </c>
      <c r="H118" s="129"/>
      <c r="I118" s="12" t="str">
        <f>VLOOKUP(A118,'Main Data File'!$C$4:$U$146,2,FALSE)</f>
        <v>RV Straight Hose Adapter 3"</v>
      </c>
      <c r="J118" s="12" t="str">
        <f>VLOOKUP(A118,'Main Data File'!$C$4:$U$146,18,FALSE)</f>
        <v>Write from scratch</v>
      </c>
      <c r="K118" s="129" t="s">
        <v>71</v>
      </c>
      <c r="L118" s="129"/>
      <c r="M118" s="129"/>
      <c r="N118" s="129"/>
      <c r="O118" s="129">
        <f>VLOOKUP(A118,'Main Data File'!$C$4:$U$146,3,FALSE)</f>
        <v>7.375</v>
      </c>
      <c r="P118" s="129">
        <f>VLOOKUP(A118,'Main Data File'!$C$4:$U$146,5,FALSE)</f>
        <v>3</v>
      </c>
      <c r="Q118" s="129">
        <f>VLOOKUP(A118,'Main Data File'!$C$4:$U$146,4,FALSE)</f>
        <v>4.875</v>
      </c>
      <c r="R118" s="129">
        <f>VLOOKUP(A118,'Main Data File'!$C$4:$U$146,6,FALSE)</f>
        <v>0.2</v>
      </c>
      <c r="S118" s="131">
        <f>VLOOKUP(A118,'Main Data File'!$C$4:$U$146,7,FALSE)</f>
        <v>6.2418619791666664E-2</v>
      </c>
      <c r="T118" s="129" t="str">
        <f>VLOOKUP(A118,'Main Data File'!$C$4:$U$146,8,FALSE)</f>
        <v>Heat Formed Plastic</v>
      </c>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0"/>
      <c r="AQ118" s="132">
        <f>VLOOKUP(A118,'Main Data File'!$C$4:$U$146,10,FALSE)</f>
        <v>15990</v>
      </c>
      <c r="AR118" s="133" t="e">
        <f>VLOOKUP(A118,#REF!,44,FALSE)</f>
        <v>#REF!</v>
      </c>
      <c r="AS118" s="133" t="e">
        <f>VLOOKUP(A118,#REF!,24,FALSE)</f>
        <v>#REF!</v>
      </c>
      <c r="AT118" s="129"/>
      <c r="AU118" s="134" t="e">
        <f t="shared" si="1"/>
        <v>#REF!</v>
      </c>
      <c r="AV118" s="139">
        <v>6600</v>
      </c>
      <c r="AW118" s="133" t="e">
        <f>VLOOKUP(A118,#REF!,25,FALSE)</f>
        <v>#REF!</v>
      </c>
      <c r="AX118" s="133" t="str">
        <f>VLOOKUP(A118,'Lowe''s final SKU list'!$C$2:$Q$99,2,FALSE)</f>
        <v>YES</v>
      </c>
      <c r="AY118" s="135" t="str">
        <f>VLOOKUP(A118,'Main Data File'!$C$4:$U$146,16,FALSE)</f>
        <v>x</v>
      </c>
      <c r="AZ118" s="135" t="str">
        <f>VLOOKUP(A118,'Main Data File'!$C$4:$U$146,13,FALSE)</f>
        <v>x</v>
      </c>
      <c r="BA118" s="135">
        <f>VLOOKUP(A118,'Main Data File'!$C$4:$U$146,14,FALSE)</f>
        <v>0</v>
      </c>
      <c r="BB118" s="135" t="str">
        <f>VLOOKUP(A118,'Main Data File'!$C$4:$U$146,15,FALSE)</f>
        <v>x</v>
      </c>
    </row>
    <row r="119" spans="1:54" ht="54" customHeight="1">
      <c r="A119" s="16" t="s">
        <v>172</v>
      </c>
      <c r="B119" s="16" t="str">
        <f>VLOOKUP(A119,'Main Data File'!$C$4:$U$146,19,FALSE)</f>
        <v>Andy</v>
      </c>
      <c r="C119" s="16"/>
      <c r="D119" s="16"/>
      <c r="E119" s="129"/>
      <c r="F119" s="129" t="e">
        <v>#N/A</v>
      </c>
      <c r="G119" s="130" t="str">
        <f>VLOOKUP(A119,'Main Data File'!$C$4:$U$146,17,FALSE)</f>
        <v>RV-331B</v>
      </c>
      <c r="H119" s="129"/>
      <c r="I119" s="12" t="str">
        <f>VLOOKUP(A119,'Main Data File'!$C$4:$U$146,2,FALSE)</f>
        <v>RV Hose Male Adapter 3"</v>
      </c>
      <c r="J119" s="12" t="str">
        <f>VLOOKUP(A119,'Main Data File'!$C$4:$U$146,18,FALSE)</f>
        <v>Write from scratch</v>
      </c>
      <c r="K119" s="129" t="s">
        <v>71</v>
      </c>
      <c r="L119" s="129"/>
      <c r="M119" s="129"/>
      <c r="N119" s="129"/>
      <c r="O119" s="129">
        <f>VLOOKUP(A119,'Main Data File'!$C$4:$U$146,3,FALSE)</f>
        <v>7.375</v>
      </c>
      <c r="P119" s="129">
        <f>VLOOKUP(A119,'Main Data File'!$C$4:$U$146,5,FALSE)</f>
        <v>3</v>
      </c>
      <c r="Q119" s="129">
        <f>VLOOKUP(A119,'Main Data File'!$C$4:$U$146,4,FALSE)</f>
        <v>4.875</v>
      </c>
      <c r="R119" s="129">
        <f>VLOOKUP(A119,'Main Data File'!$C$4:$U$146,6,FALSE)</f>
        <v>0.1</v>
      </c>
      <c r="S119" s="131">
        <f>VLOOKUP(A119,'Main Data File'!$C$4:$U$146,7,FALSE)</f>
        <v>6.2418619791666664E-2</v>
      </c>
      <c r="T119" s="129" t="str">
        <f>VLOOKUP(A119,'Main Data File'!$C$4:$U$146,8,FALSE)</f>
        <v>Heat Formed Plastic</v>
      </c>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0"/>
      <c r="AQ119" s="132">
        <f>VLOOKUP(A119,'Main Data File'!$C$4:$U$146,10,FALSE)</f>
        <v>12792</v>
      </c>
      <c r="AR119" s="133" t="e">
        <f>VLOOKUP(A119,#REF!,44,FALSE)</f>
        <v>#REF!</v>
      </c>
      <c r="AS119" s="133" t="e">
        <f>VLOOKUP(A119,#REF!,24,FALSE)</f>
        <v>#REF!</v>
      </c>
      <c r="AT119" s="129"/>
      <c r="AU119" s="134" t="e">
        <f t="shared" si="1"/>
        <v>#REF!</v>
      </c>
      <c r="AV119" s="139">
        <v>5800</v>
      </c>
      <c r="AW119" s="133" t="e">
        <f>VLOOKUP(A119,#REF!,25,FALSE)</f>
        <v>#REF!</v>
      </c>
      <c r="AX119" s="133" t="str">
        <f>VLOOKUP(A119,'Lowe''s final SKU list'!$C$2:$Q$99,2,FALSE)</f>
        <v>YES</v>
      </c>
      <c r="AY119" s="135" t="str">
        <f>VLOOKUP(A119,'Main Data File'!$C$4:$U$146,16,FALSE)</f>
        <v>x</v>
      </c>
      <c r="AZ119" s="135" t="str">
        <f>VLOOKUP(A119,'Main Data File'!$C$4:$U$146,13,FALSE)</f>
        <v>x</v>
      </c>
      <c r="BA119" s="135">
        <f>VLOOKUP(A119,'Main Data File'!$C$4:$U$146,14,FALSE)</f>
        <v>0</v>
      </c>
      <c r="BB119" s="135" t="str">
        <f>VLOOKUP(A119,'Main Data File'!$C$4:$U$146,15,FALSE)</f>
        <v>x</v>
      </c>
    </row>
    <row r="120" spans="1:54" ht="54" customHeight="1">
      <c r="A120" s="16" t="s">
        <v>173</v>
      </c>
      <c r="B120" s="16" t="str">
        <f>VLOOKUP(A120,'Main Data File'!$C$4:$U$146,19,FALSE)</f>
        <v>Andy</v>
      </c>
      <c r="C120" s="16"/>
      <c r="D120" s="16"/>
      <c r="E120" s="129"/>
      <c r="F120" s="129" t="e">
        <v>#N/A</v>
      </c>
      <c r="G120" s="130" t="str">
        <f>VLOOKUP(A120,'Main Data File'!$C$4:$U$146,17,FALSE)</f>
        <v>RV-379B</v>
      </c>
      <c r="H120" s="129"/>
      <c r="I120" s="12" t="str">
        <f>VLOOKUP(A120,'Main Data File'!$C$4:$U$146,2,FALSE)</f>
        <v>RV Coupling 3"</v>
      </c>
      <c r="J120" s="12" t="str">
        <f>VLOOKUP(A120,'Main Data File'!$C$4:$U$146,18,FALSE)</f>
        <v>Write from scratch</v>
      </c>
      <c r="K120" s="129" t="s">
        <v>71</v>
      </c>
      <c r="L120" s="129"/>
      <c r="M120" s="129"/>
      <c r="N120" s="129"/>
      <c r="O120" s="129">
        <f>VLOOKUP(A120,'Main Data File'!$C$4:$U$146,3,FALSE)</f>
        <v>7.375</v>
      </c>
      <c r="P120" s="129">
        <f>VLOOKUP(A120,'Main Data File'!$C$4:$U$146,5,FALSE)</f>
        <v>3</v>
      </c>
      <c r="Q120" s="129">
        <f>VLOOKUP(A120,'Main Data File'!$C$4:$U$146,4,FALSE)</f>
        <v>4.875</v>
      </c>
      <c r="R120" s="129">
        <f>VLOOKUP(A120,'Main Data File'!$C$4:$U$146,6,FALSE)</f>
        <v>0.1</v>
      </c>
      <c r="S120" s="131">
        <f>VLOOKUP(A120,'Main Data File'!$C$4:$U$146,7,FALSE)</f>
        <v>6.2418619791666664E-2</v>
      </c>
      <c r="T120" s="129" t="str">
        <f>VLOOKUP(A120,'Main Data File'!$C$4:$U$146,8,FALSE)</f>
        <v>Heat Formed Plastic</v>
      </c>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0"/>
      <c r="AQ120" s="132">
        <f>VLOOKUP(A120,'Main Data File'!$C$4:$U$146,10,FALSE)</f>
        <v>15990</v>
      </c>
      <c r="AR120" s="133" t="e">
        <f>VLOOKUP(A120,#REF!,44,FALSE)</f>
        <v>#REF!</v>
      </c>
      <c r="AS120" s="133" t="e">
        <f>VLOOKUP(A120,#REF!,24,FALSE)</f>
        <v>#REF!</v>
      </c>
      <c r="AT120" s="129"/>
      <c r="AU120" s="134" t="e">
        <f t="shared" si="1"/>
        <v>#REF!</v>
      </c>
      <c r="AV120" s="139">
        <v>5500</v>
      </c>
      <c r="AW120" s="133" t="e">
        <f>VLOOKUP(A120,#REF!,25,FALSE)</f>
        <v>#REF!</v>
      </c>
      <c r="AX120" s="133" t="str">
        <f>VLOOKUP(A120,'Lowe''s final SKU list'!$C$2:$Q$99,2,FALSE)</f>
        <v>YES</v>
      </c>
      <c r="AY120" s="135" t="str">
        <f>VLOOKUP(A120,'Main Data File'!$C$4:$U$146,16,FALSE)</f>
        <v>x</v>
      </c>
      <c r="AZ120" s="135" t="str">
        <f>VLOOKUP(A120,'Main Data File'!$C$4:$U$146,13,FALSE)</f>
        <v>x</v>
      </c>
      <c r="BA120" s="135">
        <f>VLOOKUP(A120,'Main Data File'!$C$4:$U$146,14,FALSE)</f>
        <v>0</v>
      </c>
      <c r="BB120" s="135" t="str">
        <f>VLOOKUP(A120,'Main Data File'!$C$4:$U$146,15,FALSE)</f>
        <v>x</v>
      </c>
    </row>
    <row r="121" spans="1:54" ht="54" customHeight="1">
      <c r="A121" s="16" t="s">
        <v>174</v>
      </c>
      <c r="B121" s="16" t="str">
        <f>VLOOKUP(A121,'Main Data File'!$C$4:$U$146,19,FALSE)</f>
        <v>Andy</v>
      </c>
      <c r="C121" s="16"/>
      <c r="D121" s="16"/>
      <c r="E121" s="129"/>
      <c r="F121" s="129" t="e">
        <v>#N/A</v>
      </c>
      <c r="G121" s="130" t="str">
        <f>VLOOKUP(A121,'Main Data File'!$C$4:$U$146,17,FALSE)</f>
        <v>RV-308B</v>
      </c>
      <c r="H121" s="129"/>
      <c r="I121" s="12" t="str">
        <f>VLOOKUP(A121,'Main Data File'!$C$4:$U$146,2,FALSE)</f>
        <v>RV Black 45^ Hose Adapter 3"</v>
      </c>
      <c r="J121" s="12" t="str">
        <f>VLOOKUP(A121,'Main Data File'!$C$4:$U$146,18,FALSE)</f>
        <v>Write from scratch</v>
      </c>
      <c r="K121" s="129" t="s">
        <v>71</v>
      </c>
      <c r="L121" s="129"/>
      <c r="M121" s="129"/>
      <c r="N121" s="129"/>
      <c r="O121" s="129">
        <f>VLOOKUP(A121,'Main Data File'!$C$4:$U$146,3,FALSE)</f>
        <v>7.375</v>
      </c>
      <c r="P121" s="129">
        <f>VLOOKUP(A121,'Main Data File'!$C$4:$U$146,5,FALSE)</f>
        <v>3</v>
      </c>
      <c r="Q121" s="129">
        <f>VLOOKUP(A121,'Main Data File'!$C$4:$U$146,4,FALSE)</f>
        <v>5</v>
      </c>
      <c r="R121" s="129">
        <f>VLOOKUP(A121,'Main Data File'!$C$4:$U$146,6,FALSE)</f>
        <v>0.3</v>
      </c>
      <c r="S121" s="131">
        <f>VLOOKUP(A121,'Main Data File'!$C$4:$U$146,7,FALSE)</f>
        <v>6.4019097222222224E-2</v>
      </c>
      <c r="T121" s="129" t="str">
        <f>VLOOKUP(A121,'Main Data File'!$C$4:$U$146,8,FALSE)</f>
        <v>Bagged</v>
      </c>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0"/>
      <c r="AQ121" s="132">
        <f>VLOOKUP(A121,'Main Data File'!$C$4:$U$146,10,FALSE)</f>
        <v>12792</v>
      </c>
      <c r="AR121" s="133" t="e">
        <f>VLOOKUP(A121,#REF!,44,FALSE)</f>
        <v>#REF!</v>
      </c>
      <c r="AS121" s="133" t="e">
        <f>VLOOKUP(A121,#REF!,24,FALSE)</f>
        <v>#REF!</v>
      </c>
      <c r="AT121" s="129"/>
      <c r="AU121" s="134" t="e">
        <f t="shared" si="1"/>
        <v>#REF!</v>
      </c>
      <c r="AV121" s="139">
        <v>10700</v>
      </c>
      <c r="AW121" s="133" t="e">
        <f>VLOOKUP(A121,#REF!,25,FALSE)</f>
        <v>#REF!</v>
      </c>
      <c r="AX121" s="133" t="str">
        <f>VLOOKUP(A121,'Lowe''s final SKU list'!$C$2:$Q$99,2,FALSE)</f>
        <v>YES</v>
      </c>
      <c r="AY121" s="135" t="str">
        <f>VLOOKUP(A121,'Main Data File'!$C$4:$U$146,16,FALSE)</f>
        <v>x</v>
      </c>
      <c r="AZ121" s="135" t="str">
        <f>VLOOKUP(A121,'Main Data File'!$C$4:$U$146,13,FALSE)</f>
        <v>x</v>
      </c>
      <c r="BA121" s="135">
        <f>VLOOKUP(A121,'Main Data File'!$C$4:$U$146,14,FALSE)</f>
        <v>0</v>
      </c>
      <c r="BB121" s="135" t="str">
        <f>VLOOKUP(A121,'Main Data File'!$C$4:$U$146,15,FALSE)</f>
        <v>x</v>
      </c>
    </row>
    <row r="122" spans="1:54" ht="54" hidden="1" customHeight="1">
      <c r="A122" s="16" t="s">
        <v>487</v>
      </c>
      <c r="B122" s="16" t="str">
        <f>VLOOKUP(A122,'Main Data File'!$C$4:$U$146,19,FALSE)</f>
        <v>Andy</v>
      </c>
      <c r="C122" s="16"/>
      <c r="D122" s="16"/>
      <c r="E122" s="129"/>
      <c r="F122" s="129" t="s">
        <v>1475</v>
      </c>
      <c r="G122" s="130" t="str">
        <f>VLOOKUP(A122,'Main Data File'!$C$4:$U$146,17,FALSE)</f>
        <v>RV-300B</v>
      </c>
      <c r="H122" s="129"/>
      <c r="I122" s="12" t="str">
        <f>VLOOKUP(A122,'Main Data File'!$C$4:$U$146,2,FALSE)</f>
        <v>RV Waste Hose 3" x 10'</v>
      </c>
      <c r="J122" s="12" t="str">
        <f>VLOOKUP(A122,'Main Data File'!$C$4:$U$146,18,FALSE)</f>
        <v>Write from scratch</v>
      </c>
      <c r="K122" s="129" t="s">
        <v>71</v>
      </c>
      <c r="L122" s="129"/>
      <c r="M122" s="129"/>
      <c r="N122" s="129"/>
      <c r="O122" s="129">
        <f>VLOOKUP(A122,'Main Data File'!$C$4:$U$146,3,FALSE)</f>
        <v>16.25</v>
      </c>
      <c r="P122" s="129">
        <f>VLOOKUP(A122,'Main Data File'!$C$4:$U$146,5,FALSE)</f>
        <v>3</v>
      </c>
      <c r="Q122" s="129">
        <f>VLOOKUP(A122,'Main Data File'!$C$4:$U$146,4,FALSE)</f>
        <v>5</v>
      </c>
      <c r="R122" s="129">
        <f>VLOOKUP(A122,'Main Data File'!$C$4:$U$146,6,FALSE)</f>
        <v>2</v>
      </c>
      <c r="S122" s="131">
        <f>VLOOKUP(A122,'Main Data File'!$C$4:$U$146,7,FALSE)</f>
        <v>0.14105902777777779</v>
      </c>
      <c r="T122" s="129" t="str">
        <f>VLOOKUP(A122,'Main Data File'!$C$4:$U$146,8,FALSE)</f>
        <v>Bagged</v>
      </c>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0"/>
      <c r="AQ122" s="132">
        <f>VLOOKUP(A122,'Main Data File'!$C$4:$U$146,10,FALSE)</f>
        <v>12024.000000000002</v>
      </c>
      <c r="AR122" s="133" t="e">
        <f>VLOOKUP(A122,#REF!,44,FALSE)</f>
        <v>#REF!</v>
      </c>
      <c r="AS122" s="133" t="e">
        <f>VLOOKUP(A122,#REF!,24,FALSE)</f>
        <v>#REF!</v>
      </c>
      <c r="AT122" s="129"/>
      <c r="AU122" s="134" t="e">
        <f t="shared" si="1"/>
        <v>#REF!</v>
      </c>
      <c r="AV122" s="139">
        <v>7400</v>
      </c>
      <c r="AW122" s="133" t="e">
        <f>VLOOKUP(A122,#REF!,25,FALSE)</f>
        <v>#REF!</v>
      </c>
      <c r="AX122" s="133" t="e">
        <f>VLOOKUP(A122,'Lowe''s final SKU list'!$C$2:$Q$99,2,FALSE)</f>
        <v>#N/A</v>
      </c>
      <c r="AY122" s="135">
        <f>VLOOKUP(A122,'Main Data File'!$C$4:$U$146,16,FALSE)</f>
        <v>0</v>
      </c>
      <c r="AZ122" s="135">
        <f>VLOOKUP(A122,'Main Data File'!$C$4:$U$146,13,FALSE)</f>
        <v>0</v>
      </c>
      <c r="BA122" s="135">
        <f>VLOOKUP(A122,'Main Data File'!$C$4:$U$146,14,FALSE)</f>
        <v>0</v>
      </c>
      <c r="BB122" s="135">
        <f>VLOOKUP(A122,'Main Data File'!$C$4:$U$146,15,FALSE)</f>
        <v>0</v>
      </c>
    </row>
    <row r="123" spans="1:54" ht="54" customHeight="1">
      <c r="A123" s="16" t="s">
        <v>175</v>
      </c>
      <c r="B123" s="16" t="str">
        <f>VLOOKUP(A123,'Main Data File'!$C$4:$U$146,19,FALSE)</f>
        <v>Andy</v>
      </c>
      <c r="C123" s="16"/>
      <c r="D123" s="16"/>
      <c r="E123" s="129"/>
      <c r="F123" s="129" t="s">
        <v>1476</v>
      </c>
      <c r="G123" s="130" t="str">
        <f>VLOOKUP(A123,'Main Data File'!$C$4:$U$146,17,FALSE)</f>
        <v>RV-301B</v>
      </c>
      <c r="H123" s="129"/>
      <c r="I123" s="12" t="str">
        <f>VLOOKUP(A123,'Main Data File'!$C$4:$U$146,2,FALSE)</f>
        <v>RV Waste Hose 3" x 20'</v>
      </c>
      <c r="J123" s="12" t="str">
        <f>VLOOKUP(A123,'Main Data File'!$C$4:$U$146,18,FALSE)</f>
        <v>Write from scratch</v>
      </c>
      <c r="K123" s="129" t="s">
        <v>71</v>
      </c>
      <c r="L123" s="129"/>
      <c r="M123" s="129"/>
      <c r="N123" s="129"/>
      <c r="O123" s="129">
        <f>VLOOKUP(A123,'Main Data File'!$C$4:$U$146,3,FALSE)</f>
        <v>25.25</v>
      </c>
      <c r="P123" s="129">
        <f>VLOOKUP(A123,'Main Data File'!$C$4:$U$146,5,FALSE)</f>
        <v>3</v>
      </c>
      <c r="Q123" s="129">
        <f>VLOOKUP(A123,'Main Data File'!$C$4:$U$146,4,FALSE)</f>
        <v>5</v>
      </c>
      <c r="R123" s="129">
        <f>VLOOKUP(A123,'Main Data File'!$C$4:$U$146,6,FALSE)</f>
        <v>4</v>
      </c>
      <c r="S123" s="131">
        <f>VLOOKUP(A123,'Main Data File'!$C$4:$U$146,7,FALSE)</f>
        <v>0.21918402777777779</v>
      </c>
      <c r="T123" s="129" t="str">
        <f>VLOOKUP(A123,'Main Data File'!$C$4:$U$146,8,FALSE)</f>
        <v>Bagged</v>
      </c>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0"/>
      <c r="AQ123" s="132">
        <f>VLOOKUP(A123,'Main Data File'!$C$4:$U$146,10,FALSE)</f>
        <v>19188</v>
      </c>
      <c r="AR123" s="133" t="e">
        <f>VLOOKUP(A123,#REF!,44,FALSE)</f>
        <v>#REF!</v>
      </c>
      <c r="AS123" s="133" t="e">
        <f>VLOOKUP(A123,#REF!,24,FALSE)</f>
        <v>#REF!</v>
      </c>
      <c r="AT123" s="129"/>
      <c r="AU123" s="134" t="e">
        <f t="shared" si="1"/>
        <v>#REF!</v>
      </c>
      <c r="AV123" s="139">
        <v>500</v>
      </c>
      <c r="AW123" s="133" t="e">
        <f>VLOOKUP(A123,#REF!,25,FALSE)</f>
        <v>#REF!</v>
      </c>
      <c r="AX123" s="133" t="str">
        <f>VLOOKUP(A123,'Lowe''s final SKU list'!$C$2:$Q$99,2,FALSE)</f>
        <v>YES</v>
      </c>
      <c r="AY123" s="135" t="str">
        <f>VLOOKUP(A123,'Main Data File'!$C$4:$U$146,16,FALSE)</f>
        <v>x</v>
      </c>
      <c r="AZ123" s="135" t="str">
        <f>VLOOKUP(A123,'Main Data File'!$C$4:$U$146,13,FALSE)</f>
        <v>x</v>
      </c>
      <c r="BA123" s="135">
        <f>VLOOKUP(A123,'Main Data File'!$C$4:$U$146,14,FALSE)</f>
        <v>0</v>
      </c>
      <c r="BB123" s="135" t="str">
        <f>VLOOKUP(A123,'Main Data File'!$C$4:$U$146,15,FALSE)</f>
        <v>x</v>
      </c>
    </row>
    <row r="124" spans="1:54" ht="54" customHeight="1">
      <c r="A124" s="16" t="s">
        <v>176</v>
      </c>
      <c r="B124" s="16" t="str">
        <f>VLOOKUP(A124,'Main Data File'!$C$4:$U$146,19,FALSE)</f>
        <v>Andy</v>
      </c>
      <c r="C124" s="16" t="s">
        <v>75</v>
      </c>
      <c r="D124" s="16" t="s">
        <v>76</v>
      </c>
      <c r="E124" s="129"/>
      <c r="F124" s="129">
        <v>603810</v>
      </c>
      <c r="G124" s="130" t="str">
        <f>VLOOKUP(A124,'Main Data File'!$C$4:$U$146,17,FALSE)</f>
        <v>C2108</v>
      </c>
      <c r="H124" s="129"/>
      <c r="I124" s="12" t="str">
        <f>VLOOKUP(A124,'Main Data File'!$C$4:$U$146,2,FALSE)</f>
        <v>Plastic 2-1/2" Sink Strainer Assembly</v>
      </c>
      <c r="J124" s="169" t="str">
        <f>VLOOKUP(A124,'Main Data File'!$C$4:$U$146,18,FALSE)</f>
        <v>Done.  Item is in Menards.</v>
      </c>
      <c r="K124" s="129" t="s">
        <v>71</v>
      </c>
      <c r="L124" s="129"/>
      <c r="M124" s="129"/>
      <c r="N124" s="129"/>
      <c r="O124" s="129">
        <f>VLOOKUP(A124,'Main Data File'!$C$4:$U$146,3,FALSE)</f>
        <v>5.7</v>
      </c>
      <c r="P124" s="129">
        <f>VLOOKUP(A124,'Main Data File'!$C$4:$U$146,5,FALSE)</f>
        <v>3</v>
      </c>
      <c r="Q124" s="129">
        <f>VLOOKUP(A124,'Main Data File'!$C$4:$U$146,4,FALSE)</f>
        <v>3.65</v>
      </c>
      <c r="R124" s="129">
        <f>VLOOKUP(A124,'Main Data File'!$C$4:$U$146,6,FALSE)</f>
        <v>0.28000000000000003</v>
      </c>
      <c r="S124" s="131">
        <f>VLOOKUP(A124,'Main Data File'!$C$4:$U$146,7,FALSE)</f>
        <v>3.6119791666666665E-2</v>
      </c>
      <c r="T124" s="129" t="str">
        <f>VLOOKUP(A124,'Main Data File'!$C$4:$U$146,8,FALSE)</f>
        <v>Heat Formed Plastic</v>
      </c>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0"/>
      <c r="AQ124" s="132">
        <f>VLOOKUP(A124,'Main Data File'!$C$4:$U$146,10,FALSE)</f>
        <v>15990</v>
      </c>
      <c r="AR124" s="133" t="e">
        <f>VLOOKUP(A124,#REF!,44,FALSE)</f>
        <v>#REF!</v>
      </c>
      <c r="AS124" s="133" t="e">
        <f>VLOOKUP(A124,#REF!,24,FALSE)</f>
        <v>#REF!</v>
      </c>
      <c r="AT124" s="129"/>
      <c r="AU124" s="134" t="e">
        <f t="shared" si="1"/>
        <v>#REF!</v>
      </c>
      <c r="AV124" s="139">
        <v>500</v>
      </c>
      <c r="AW124" s="133" t="e">
        <f>VLOOKUP(A124,#REF!,25,FALSE)</f>
        <v>#REF!</v>
      </c>
      <c r="AX124" s="133" t="str">
        <f>VLOOKUP(A124,'Lowe''s final SKU list'!$C$2:$Q$99,2,FALSE)</f>
        <v>YES</v>
      </c>
      <c r="AY124" s="135" t="str">
        <f>VLOOKUP(A124,'Main Data File'!$C$4:$U$146,16,FALSE)</f>
        <v>x</v>
      </c>
      <c r="AZ124" s="135" t="str">
        <f>VLOOKUP(A124,'Main Data File'!$C$4:$U$146,13,FALSE)</f>
        <v>x</v>
      </c>
      <c r="BA124" s="135">
        <f>VLOOKUP(A124,'Main Data File'!$C$4:$U$146,14,FALSE)</f>
        <v>0</v>
      </c>
      <c r="BB124" s="135" t="str">
        <f>VLOOKUP(A124,'Main Data File'!$C$4:$U$146,15,FALSE)</f>
        <v>x</v>
      </c>
    </row>
    <row r="125" spans="1:54" ht="54" customHeight="1">
      <c r="A125" s="16" t="s">
        <v>177</v>
      </c>
      <c r="B125" s="16" t="str">
        <f>VLOOKUP(A125,'Main Data File'!$C$4:$U$146,19,FALSE)</f>
        <v>Boyd</v>
      </c>
      <c r="C125" s="16"/>
      <c r="D125" s="16"/>
      <c r="E125" s="129"/>
      <c r="F125" s="129" t="s">
        <v>1477</v>
      </c>
      <c r="G125" s="130" t="str">
        <f>VLOOKUP(A125,'Main Data File'!$C$4:$U$146,17,FALSE)</f>
        <v>RV-320C</v>
      </c>
      <c r="H125" s="129"/>
      <c r="I125" s="12" t="str">
        <f>VLOOKUP(A125,'Main Data File'!$C$4:$U$146,2,FALSE)</f>
        <v>15 Amp Plug Adapter</v>
      </c>
      <c r="J125" s="12" t="str">
        <f>VLOOKUP(A125,'Main Data File'!$C$4:$U$146,18,FALSE)</f>
        <v>Modify USH instructions</v>
      </c>
      <c r="K125" s="129" t="s">
        <v>71</v>
      </c>
      <c r="L125" s="129"/>
      <c r="M125" s="129"/>
      <c r="N125" s="129"/>
      <c r="O125" s="129">
        <f>VLOOKUP(A125,'Main Data File'!$C$4:$U$146,3,FALSE)</f>
        <v>5.7</v>
      </c>
      <c r="P125" s="129">
        <f>VLOOKUP(A125,'Main Data File'!$C$4:$U$146,5,FALSE)</f>
        <v>3.75</v>
      </c>
      <c r="Q125" s="129">
        <f>VLOOKUP(A125,'Main Data File'!$C$4:$U$146,4,FALSE)</f>
        <v>3.65</v>
      </c>
      <c r="R125" s="129">
        <f>VLOOKUP(A125,'Main Data File'!$C$4:$U$146,6,FALSE)</f>
        <v>0.13</v>
      </c>
      <c r="S125" s="131">
        <f>VLOOKUP(A125,'Main Data File'!$C$4:$U$146,7,FALSE)</f>
        <v>4.5149739583333334E-2</v>
      </c>
      <c r="T125" s="129" t="str">
        <f>VLOOKUP(A125,'Main Data File'!$C$4:$U$146,8,FALSE)</f>
        <v>Heat Formed Plastic</v>
      </c>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0"/>
      <c r="AQ125" s="132">
        <f>VLOOKUP(A125,'Main Data File'!$C$4:$U$146,10,FALSE)</f>
        <v>12792</v>
      </c>
      <c r="AR125" s="133" t="e">
        <f>VLOOKUP(A125,#REF!,44,FALSE)</f>
        <v>#REF!</v>
      </c>
      <c r="AS125" s="133" t="e">
        <f>VLOOKUP(A125,#REF!,24,FALSE)</f>
        <v>#REF!</v>
      </c>
      <c r="AT125" s="129"/>
      <c r="AU125" s="134" t="e">
        <f t="shared" si="1"/>
        <v>#REF!</v>
      </c>
      <c r="AV125" s="139"/>
      <c r="AW125" s="133" t="e">
        <f>VLOOKUP(A125,#REF!,25,FALSE)</f>
        <v>#REF!</v>
      </c>
      <c r="AX125" s="133" t="str">
        <f>VLOOKUP(A125,'Lowe''s final SKU list'!$C$2:$Q$99,2,FALSE)</f>
        <v>YES</v>
      </c>
      <c r="AY125" s="135" t="str">
        <f>VLOOKUP(A125,'Main Data File'!$C$4:$U$146,16,FALSE)</f>
        <v>x</v>
      </c>
      <c r="AZ125" s="135" t="str">
        <f>VLOOKUP(A125,'Main Data File'!$C$4:$U$146,13,FALSE)</f>
        <v>x</v>
      </c>
      <c r="BA125" s="135">
        <f>VLOOKUP(A125,'Main Data File'!$C$4:$U$146,14,FALSE)</f>
        <v>0</v>
      </c>
      <c r="BB125" s="135" t="str">
        <f>VLOOKUP(A125,'Main Data File'!$C$4:$U$146,15,FALSE)</f>
        <v>x</v>
      </c>
    </row>
    <row r="126" spans="1:54" ht="54" customHeight="1">
      <c r="A126" s="16" t="s">
        <v>178</v>
      </c>
      <c r="B126" s="16" t="str">
        <f>VLOOKUP(A126,'Main Data File'!$C$4:$U$146,19,FALSE)</f>
        <v>Andy</v>
      </c>
      <c r="C126" s="16"/>
      <c r="D126" s="16"/>
      <c r="E126" s="129"/>
      <c r="F126" s="129" t="e">
        <v>#N/A</v>
      </c>
      <c r="G126" s="130" t="str">
        <f>VLOOKUP(A126,'Main Data File'!$C$4:$U$146,17,FALSE)</f>
        <v>P-138C</v>
      </c>
      <c r="H126" s="129"/>
      <c r="I126" s="12" t="str">
        <f>VLOOKUP(A126,'Main Data File'!$C$4:$U$146,2,FALSE)</f>
        <v>3J-9HC Plastic Phoenix Stem Hot/Cold</v>
      </c>
      <c r="J126" s="12" t="str">
        <f>VLOOKUP(A126,'Main Data File'!$C$4:$U$146,18,FALSE)</f>
        <v>See RVP100</v>
      </c>
      <c r="K126" s="129" t="s">
        <v>71</v>
      </c>
      <c r="L126" s="129"/>
      <c r="M126" s="129"/>
      <c r="N126" s="129"/>
      <c r="O126" s="129">
        <f>VLOOKUP(A126,'Main Data File'!$C$4:$U$146,3,FALSE)</f>
        <v>5.7</v>
      </c>
      <c r="P126" s="129">
        <f>VLOOKUP(A126,'Main Data File'!$C$4:$U$146,5,FALSE)</f>
        <v>1</v>
      </c>
      <c r="Q126" s="129">
        <f>VLOOKUP(A126,'Main Data File'!$C$4:$U$146,4,FALSE)</f>
        <v>3.65</v>
      </c>
      <c r="R126" s="129">
        <f>VLOOKUP(A126,'Main Data File'!$C$4:$U$146,6,FALSE)</f>
        <v>0.1</v>
      </c>
      <c r="S126" s="131">
        <f>VLOOKUP(A126,'Main Data File'!$C$4:$U$146,7,FALSE)</f>
        <v>1.2039930555555555E-2</v>
      </c>
      <c r="T126" s="129" t="str">
        <f>VLOOKUP(A126,'Main Data File'!$C$4:$U$146,8,FALSE)</f>
        <v>Heat Formed Plastic</v>
      </c>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0"/>
      <c r="AQ126" s="132">
        <f>VLOOKUP(A126,'Main Data File'!$C$4:$U$146,10,FALSE)</f>
        <v>2800</v>
      </c>
      <c r="AR126" s="133" t="e">
        <f>VLOOKUP(A126,#REF!,44,FALSE)</f>
        <v>#REF!</v>
      </c>
      <c r="AS126" s="133" t="e">
        <f>VLOOKUP(A126,#REF!,24,FALSE)</f>
        <v>#REF!</v>
      </c>
      <c r="AT126" s="129"/>
      <c r="AU126" s="134" t="e">
        <f t="shared" si="1"/>
        <v>#REF!</v>
      </c>
      <c r="AV126" s="139"/>
      <c r="AW126" s="133" t="e">
        <f>VLOOKUP(A126,#REF!,25,FALSE)</f>
        <v>#REF!</v>
      </c>
      <c r="AX126" s="133" t="str">
        <f>VLOOKUP(A126,'Lowe''s final SKU list'!$C$2:$Q$99,2,FALSE)</f>
        <v>YES</v>
      </c>
      <c r="AY126" s="135" t="str">
        <f>VLOOKUP(A126,'Main Data File'!$C$4:$U$146,16,FALSE)</f>
        <v>x</v>
      </c>
      <c r="AZ126" s="135">
        <f>VLOOKUP(A126,'Main Data File'!$C$4:$U$146,13,FALSE)</f>
        <v>0</v>
      </c>
      <c r="BA126" s="135" t="str">
        <f>VLOOKUP(A126,'Main Data File'!$C$4:$U$146,14,FALSE)</f>
        <v>x</v>
      </c>
      <c r="BB126" s="135" t="str">
        <f>VLOOKUP(A126,'Main Data File'!$C$4:$U$146,15,FALSE)</f>
        <v>x</v>
      </c>
    </row>
    <row r="127" spans="1:54" ht="54" customHeight="1">
      <c r="A127" s="16" t="s">
        <v>179</v>
      </c>
      <c r="B127" s="16" t="str">
        <f>VLOOKUP(A127,'Main Data File'!$C$4:$U$146,19,FALSE)</f>
        <v>Andy</v>
      </c>
      <c r="C127" s="16" t="s">
        <v>75</v>
      </c>
      <c r="D127" s="16" t="s">
        <v>76</v>
      </c>
      <c r="E127" s="129"/>
      <c r="F127" s="129" t="e">
        <v>#N/A</v>
      </c>
      <c r="G127" s="130" t="str">
        <f>VLOOKUP(A127,'Main Data File'!$C$4:$U$146,17,FALSE)</f>
        <v>C2012</v>
      </c>
      <c r="H127" s="129"/>
      <c r="I127" s="12" t="str">
        <f>VLOOKUP(A127,'Main Data File'!$C$4:$U$146,2,FALSE)</f>
        <v>Small Sink Strainer Basket</v>
      </c>
      <c r="J127" s="169" t="str">
        <f>VLOOKUP(A127,'Main Data File'!$C$4:$U$146,18,FALSE)</f>
        <v>Done.  Item is in Menards.</v>
      </c>
      <c r="K127" s="129" t="s">
        <v>71</v>
      </c>
      <c r="L127" s="129"/>
      <c r="M127" s="129"/>
      <c r="N127" s="129"/>
      <c r="O127" s="129">
        <f>VLOOKUP(A127,'Main Data File'!$C$4:$U$146,3,FALSE)</f>
        <v>5.7</v>
      </c>
      <c r="P127" s="129">
        <f>VLOOKUP(A127,'Main Data File'!$C$4:$U$146,5,FALSE)</f>
        <v>1.25</v>
      </c>
      <c r="Q127" s="129">
        <f>VLOOKUP(A127,'Main Data File'!$C$4:$U$146,4,FALSE)</f>
        <v>3.65</v>
      </c>
      <c r="R127" s="129">
        <f>VLOOKUP(A127,'Main Data File'!$C$4:$U$146,6,FALSE)</f>
        <v>0.2</v>
      </c>
      <c r="S127" s="131">
        <f>VLOOKUP(A127,'Main Data File'!$C$4:$U$146,7,FALSE)</f>
        <v>1.5049913194444445E-2</v>
      </c>
      <c r="T127" s="129" t="str">
        <f>VLOOKUP(A127,'Main Data File'!$C$4:$U$146,8,FALSE)</f>
        <v>Heat Formed Plastic</v>
      </c>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0"/>
      <c r="AQ127" s="132">
        <f>VLOOKUP(A127,'Main Data File'!$C$4:$U$146,10,FALSE)</f>
        <v>12005</v>
      </c>
      <c r="AR127" s="133" t="e">
        <f>VLOOKUP(A127,#REF!,44,FALSE)</f>
        <v>#REF!</v>
      </c>
      <c r="AS127" s="133" t="e">
        <f>VLOOKUP(A127,#REF!,24,FALSE)</f>
        <v>#REF!</v>
      </c>
      <c r="AT127" s="129"/>
      <c r="AU127" s="134" t="e">
        <f t="shared" si="1"/>
        <v>#REF!</v>
      </c>
      <c r="AV127" s="139"/>
      <c r="AW127" s="133" t="e">
        <f>VLOOKUP(A127,#REF!,25,FALSE)</f>
        <v>#REF!</v>
      </c>
      <c r="AX127" s="133" t="str">
        <f>VLOOKUP(A127,'Lowe''s final SKU list'!$C$2:$Q$99,2,FALSE)</f>
        <v>YES</v>
      </c>
      <c r="AY127" s="135" t="str">
        <f>VLOOKUP(A127,'Main Data File'!$C$4:$U$146,16,FALSE)</f>
        <v>x</v>
      </c>
      <c r="AZ127" s="135" t="str">
        <f>VLOOKUP(A127,'Main Data File'!$C$4:$U$146,13,FALSE)</f>
        <v>x</v>
      </c>
      <c r="BA127" s="135" t="str">
        <f>VLOOKUP(A127,'Main Data File'!$C$4:$U$146,14,FALSE)</f>
        <v>x</v>
      </c>
      <c r="BB127" s="135" t="str">
        <f>VLOOKUP(A127,'Main Data File'!$C$4:$U$146,15,FALSE)</f>
        <v>x</v>
      </c>
    </row>
    <row r="128" spans="1:54" ht="54" customHeight="1">
      <c r="A128" s="16" t="s">
        <v>180</v>
      </c>
      <c r="B128" s="16" t="str">
        <f>VLOOKUP(A128,'Main Data File'!$C$4:$U$146,19,FALSE)</f>
        <v>Andy</v>
      </c>
      <c r="C128" s="16"/>
      <c r="D128" s="16"/>
      <c r="E128" s="129"/>
      <c r="F128" s="129" t="e">
        <v>#N/A</v>
      </c>
      <c r="G128" s="130" t="str">
        <f>VLOOKUP(A128,'Main Data File'!$C$4:$U$146,17,FALSE)</f>
        <v>P-110C</v>
      </c>
      <c r="H128" s="129"/>
      <c r="I128" s="12" t="str">
        <f>VLOOKUP(A128,'Main Data File'!$C$4:$U$146,2,FALSE)</f>
        <v>Male Threaded Plastic Toilet Floor Flange</v>
      </c>
      <c r="J128" s="12" t="str">
        <f>VLOOKUP(A128,'Main Data File'!$C$4:$U$146,18,FALSE)</f>
        <v>Write from scratch</v>
      </c>
      <c r="K128" s="129" t="s">
        <v>71</v>
      </c>
      <c r="L128" s="129"/>
      <c r="M128" s="129"/>
      <c r="N128" s="129"/>
      <c r="O128" s="129">
        <f>VLOOKUP(A128,'Main Data File'!$C$4:$U$146,3,FALSE)</f>
        <v>8</v>
      </c>
      <c r="P128" s="129">
        <f>VLOOKUP(A128,'Main Data File'!$C$4:$U$146,5,FALSE)</f>
        <v>2</v>
      </c>
      <c r="Q128" s="129">
        <f>VLOOKUP(A128,'Main Data File'!$C$4:$U$146,4,FALSE)</f>
        <v>8</v>
      </c>
      <c r="R128" s="129">
        <f>VLOOKUP(A128,'Main Data File'!$C$4:$U$146,6,FALSE)</f>
        <v>0.5</v>
      </c>
      <c r="S128" s="131">
        <f>VLOOKUP(A128,'Main Data File'!$C$4:$U$146,7,FALSE)</f>
        <v>7.407407407407407E-2</v>
      </c>
      <c r="T128" s="129" t="str">
        <f>VLOOKUP(A128,'Main Data File'!$C$4:$U$146,8,FALSE)</f>
        <v>Bagged</v>
      </c>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0"/>
      <c r="AQ128" s="132">
        <f>VLOOKUP(A128,'Main Data File'!$C$4:$U$146,10,FALSE)</f>
        <v>15990</v>
      </c>
      <c r="AR128" s="133" t="e">
        <f>VLOOKUP(A128,#REF!,44,FALSE)</f>
        <v>#REF!</v>
      </c>
      <c r="AS128" s="133" t="e">
        <f>VLOOKUP(A128,#REF!,24,FALSE)</f>
        <v>#REF!</v>
      </c>
      <c r="AT128" s="129"/>
      <c r="AU128" s="134" t="e">
        <f t="shared" si="1"/>
        <v>#REF!</v>
      </c>
      <c r="AV128" s="139">
        <v>500</v>
      </c>
      <c r="AW128" s="133" t="e">
        <f>VLOOKUP(A128,#REF!,25,FALSE)</f>
        <v>#REF!</v>
      </c>
      <c r="AX128" s="133" t="str">
        <f>VLOOKUP(A128,'Lowe''s final SKU list'!$C$2:$Q$99,2,FALSE)</f>
        <v>YES</v>
      </c>
      <c r="AY128" s="135" t="str">
        <f>VLOOKUP(A128,'Main Data File'!$C$4:$U$146,16,FALSE)</f>
        <v>x</v>
      </c>
      <c r="AZ128" s="135">
        <f>VLOOKUP(A128,'Main Data File'!$C$4:$U$146,13,FALSE)</f>
        <v>0</v>
      </c>
      <c r="BA128" s="135">
        <f>VLOOKUP(A128,'Main Data File'!$C$4:$U$146,14,FALSE)</f>
        <v>0</v>
      </c>
      <c r="BB128" s="135">
        <f>VLOOKUP(A128,'Main Data File'!$C$4:$U$146,15,FALSE)</f>
        <v>0</v>
      </c>
    </row>
    <row r="129" spans="1:54" ht="54" customHeight="1">
      <c r="A129" s="16" t="s">
        <v>181</v>
      </c>
      <c r="B129" s="16" t="str">
        <f>VLOOKUP(A129,'Main Data File'!$C$4:$U$146,19,FALSE)</f>
        <v>Andy</v>
      </c>
      <c r="C129" s="16"/>
      <c r="D129" s="16"/>
      <c r="E129" s="129"/>
      <c r="F129" s="129" t="e">
        <v>#N/A</v>
      </c>
      <c r="G129" s="130" t="str">
        <f>VLOOKUP(A129,'Main Data File'!$C$4:$U$146,17,FALSE)</f>
        <v>P-111C</v>
      </c>
      <c r="H129" s="129"/>
      <c r="I129" s="12" t="str">
        <f>VLOOKUP(A129,'Main Data File'!$C$4:$U$146,2,FALSE)</f>
        <v>Female Threaded Plastic Toilet Floor Flange</v>
      </c>
      <c r="J129" s="12" t="str">
        <f>VLOOKUP(A129,'Main Data File'!$C$4:$U$146,18,FALSE)</f>
        <v>Write from scratch</v>
      </c>
      <c r="K129" s="129" t="s">
        <v>71</v>
      </c>
      <c r="L129" s="129"/>
      <c r="M129" s="129"/>
      <c r="N129" s="129"/>
      <c r="O129" s="129">
        <f>VLOOKUP(A129,'Main Data File'!$C$4:$U$146,3,FALSE)</f>
        <v>8</v>
      </c>
      <c r="P129" s="129">
        <f>VLOOKUP(A129,'Main Data File'!$C$4:$U$146,5,FALSE)</f>
        <v>2</v>
      </c>
      <c r="Q129" s="129">
        <f>VLOOKUP(A129,'Main Data File'!$C$4:$U$146,4,FALSE)</f>
        <v>8</v>
      </c>
      <c r="R129" s="129">
        <f>VLOOKUP(A129,'Main Data File'!$C$4:$U$146,6,FALSE)</f>
        <v>0.5</v>
      </c>
      <c r="S129" s="131">
        <f>VLOOKUP(A129,'Main Data File'!$C$4:$U$146,7,FALSE)</f>
        <v>7.407407407407407E-2</v>
      </c>
      <c r="T129" s="129" t="str">
        <f>VLOOKUP(A129,'Main Data File'!$C$4:$U$146,8,FALSE)</f>
        <v>Bagged</v>
      </c>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0"/>
      <c r="AQ129" s="132">
        <f>VLOOKUP(A129,'Main Data File'!$C$4:$U$146,10,FALSE)</f>
        <v>9018</v>
      </c>
      <c r="AR129" s="133" t="e">
        <f>VLOOKUP(A129,#REF!,44,FALSE)</f>
        <v>#REF!</v>
      </c>
      <c r="AS129" s="133" t="e">
        <f>VLOOKUP(A129,#REF!,24,FALSE)</f>
        <v>#REF!</v>
      </c>
      <c r="AT129" s="129"/>
      <c r="AU129" s="134" t="e">
        <f t="shared" si="1"/>
        <v>#REF!</v>
      </c>
      <c r="AV129" s="139">
        <v>500</v>
      </c>
      <c r="AW129" s="133" t="e">
        <f>VLOOKUP(A129,#REF!,25,FALSE)</f>
        <v>#REF!</v>
      </c>
      <c r="AX129" s="133" t="str">
        <f>VLOOKUP(A129,'Lowe''s final SKU list'!$C$2:$Q$99,2,FALSE)</f>
        <v>YES</v>
      </c>
      <c r="AY129" s="135" t="str">
        <f>VLOOKUP(A129,'Main Data File'!$C$4:$U$146,16,FALSE)</f>
        <v>x</v>
      </c>
      <c r="AZ129" s="135">
        <f>VLOOKUP(A129,'Main Data File'!$C$4:$U$146,13,FALSE)</f>
        <v>0</v>
      </c>
      <c r="BA129" s="135" t="str">
        <f>VLOOKUP(A129,'Main Data File'!$C$4:$U$146,14,FALSE)</f>
        <v>x</v>
      </c>
      <c r="BB129" s="135">
        <f>VLOOKUP(A129,'Main Data File'!$C$4:$U$146,15,FALSE)</f>
        <v>0</v>
      </c>
    </row>
    <row r="130" spans="1:54" ht="54" customHeight="1">
      <c r="A130" s="16" t="s">
        <v>182</v>
      </c>
      <c r="B130" s="16" t="str">
        <f>VLOOKUP(A130,'Main Data File'!$C$4:$U$146,19,FALSE)</f>
        <v>Andy</v>
      </c>
      <c r="C130" s="16"/>
      <c r="D130" s="16"/>
      <c r="E130" s="129"/>
      <c r="F130" s="129" t="s">
        <v>1478</v>
      </c>
      <c r="G130" s="130" t="str">
        <f>VLOOKUP(A130,'Main Data File'!$C$4:$U$146,17,FALSE)</f>
        <v>C1727C</v>
      </c>
      <c r="H130" s="129"/>
      <c r="I130" s="12" t="str">
        <f>VLOOKUP(A130,'Main Data File'!$C$4:$U$146,2,FALSE)</f>
        <v>2J-3C Brass Streamway Stem Cold</v>
      </c>
      <c r="J130" s="12" t="str">
        <f>VLOOKUP(A130,'Main Data File'!$C$4:$U$146,18,FALSE)</f>
        <v>Use back of World and Main card</v>
      </c>
      <c r="K130" s="129" t="s">
        <v>71</v>
      </c>
      <c r="L130" s="129"/>
      <c r="M130" s="129"/>
      <c r="N130" s="129"/>
      <c r="O130" s="129">
        <f>VLOOKUP(A130,'Main Data File'!$C$4:$U$146,3,FALSE)</f>
        <v>5.7</v>
      </c>
      <c r="P130" s="129">
        <f>VLOOKUP(A130,'Main Data File'!$C$4:$U$146,5,FALSE)</f>
        <v>1.5</v>
      </c>
      <c r="Q130" s="129">
        <f>VLOOKUP(A130,'Main Data File'!$C$4:$U$146,4,FALSE)</f>
        <v>3.65</v>
      </c>
      <c r="R130" s="129">
        <f>VLOOKUP(A130,'Main Data File'!$C$4:$U$146,6,FALSE)</f>
        <v>0.2</v>
      </c>
      <c r="S130" s="131">
        <f>VLOOKUP(A130,'Main Data File'!$C$4:$U$146,7,FALSE)</f>
        <v>1.8059895833333332E-2</v>
      </c>
      <c r="T130" s="129" t="str">
        <f>VLOOKUP(A130,'Main Data File'!$C$4:$U$146,8,FALSE)</f>
        <v>Heat Formed Plastic</v>
      </c>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0"/>
      <c r="AQ130" s="132">
        <f>VLOOKUP(A130,'Main Data File'!$C$4:$U$146,10,FALSE)</f>
        <v>340.00000000000006</v>
      </c>
      <c r="AR130" s="133" t="e">
        <f>VLOOKUP(A130,#REF!,44,FALSE)</f>
        <v>#REF!</v>
      </c>
      <c r="AS130" s="133" t="e">
        <f>VLOOKUP(A130,#REF!,24,FALSE)</f>
        <v>#REF!</v>
      </c>
      <c r="AT130" s="129"/>
      <c r="AU130" s="134" t="e">
        <f t="shared" si="1"/>
        <v>#REF!</v>
      </c>
      <c r="AV130" s="139"/>
      <c r="AW130" s="133" t="e">
        <f>VLOOKUP(A130,#REF!,25,FALSE)</f>
        <v>#REF!</v>
      </c>
      <c r="AX130" s="133" t="str">
        <f>VLOOKUP(A130,'Lowe''s final SKU list'!$C$2:$Q$99,2,FALSE)</f>
        <v>YES</v>
      </c>
      <c r="AY130" s="135" t="str">
        <f>VLOOKUP(A130,'Main Data File'!$C$4:$U$146,16,FALSE)</f>
        <v>x</v>
      </c>
      <c r="AZ130" s="135">
        <f>VLOOKUP(A130,'Main Data File'!$C$4:$U$146,13,FALSE)</f>
        <v>0</v>
      </c>
      <c r="BA130" s="135">
        <f>VLOOKUP(A130,'Main Data File'!$C$4:$U$146,14,FALSE)</f>
        <v>0</v>
      </c>
      <c r="BB130" s="135">
        <f>VLOOKUP(A130,'Main Data File'!$C$4:$U$146,15,FALSE)</f>
        <v>0</v>
      </c>
    </row>
    <row r="131" spans="1:54" ht="54" customHeight="1">
      <c r="A131" s="17" t="s">
        <v>183</v>
      </c>
      <c r="B131" s="16" t="str">
        <f>VLOOKUP(A131,'Main Data File'!$C$4:$U$146,19,FALSE)</f>
        <v>Andy</v>
      </c>
      <c r="C131" s="16"/>
      <c r="D131" s="16"/>
      <c r="E131" s="129"/>
      <c r="F131" s="129" t="s">
        <v>1479</v>
      </c>
      <c r="G131" s="130" t="str">
        <f>VLOOKUP(A131,'Main Data File'!$C$4:$U$146,17,FALSE)</f>
        <v>C1727H</v>
      </c>
      <c r="H131" s="129"/>
      <c r="I131" s="12" t="str">
        <f>VLOOKUP(A131,'Main Data File'!$C$4:$U$146,2,FALSE)</f>
        <v>2J-3H Brass Streamway Stem Hot</v>
      </c>
      <c r="J131" s="12" t="str">
        <f>VLOOKUP(A131,'Main Data File'!$C$4:$U$146,18,FALSE)</f>
        <v>Use back of World and Main card</v>
      </c>
      <c r="K131" s="129" t="s">
        <v>71</v>
      </c>
      <c r="L131" s="129"/>
      <c r="M131" s="129"/>
      <c r="N131" s="129"/>
      <c r="O131" s="129">
        <f>VLOOKUP(A131,'Main Data File'!$C$4:$U$146,3,FALSE)</f>
        <v>5.7</v>
      </c>
      <c r="P131" s="129">
        <f>VLOOKUP(A131,'Main Data File'!$C$4:$U$146,5,FALSE)</f>
        <v>1.5</v>
      </c>
      <c r="Q131" s="129">
        <f>VLOOKUP(A131,'Main Data File'!$C$4:$U$146,4,FALSE)</f>
        <v>3.65</v>
      </c>
      <c r="R131" s="129">
        <f>VLOOKUP(A131,'Main Data File'!$C$4:$U$146,6,FALSE)</f>
        <v>0.2</v>
      </c>
      <c r="S131" s="131">
        <f>VLOOKUP(A131,'Main Data File'!$C$4:$U$146,7,FALSE)</f>
        <v>1.8059895833333332E-2</v>
      </c>
      <c r="T131" s="129" t="str">
        <f>VLOOKUP(A131,'Main Data File'!$C$4:$U$146,8,FALSE)</f>
        <v>Heat Formed Plastic</v>
      </c>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1"/>
      <c r="AQ131" s="132">
        <f>VLOOKUP(A131,'Main Data File'!$C$4:$U$146,10,FALSE)</f>
        <v>340.00000000000006</v>
      </c>
      <c r="AR131" s="133" t="e">
        <f>VLOOKUP(A131,#REF!,44,FALSE)</f>
        <v>#REF!</v>
      </c>
      <c r="AS131" s="133" t="e">
        <f>VLOOKUP(A131,#REF!,24,FALSE)</f>
        <v>#REF!</v>
      </c>
      <c r="AT131" s="129"/>
      <c r="AU131" s="134" t="e">
        <f t="shared" si="1"/>
        <v>#REF!</v>
      </c>
      <c r="AV131" s="139"/>
      <c r="AW131" s="133" t="e">
        <f>VLOOKUP(A131,#REF!,25,FALSE)</f>
        <v>#REF!</v>
      </c>
      <c r="AX131" s="133" t="str">
        <f>VLOOKUP(A131,'Lowe''s final SKU list'!$C$2:$Q$99,2,FALSE)</f>
        <v>YES</v>
      </c>
      <c r="AY131" s="135" t="str">
        <f>VLOOKUP(A131,'Main Data File'!$C$4:$U$146,16,FALSE)</f>
        <v>x</v>
      </c>
      <c r="AZ131" s="135">
        <f>VLOOKUP(A131,'Main Data File'!$C$4:$U$146,13,FALSE)</f>
        <v>0</v>
      </c>
      <c r="BA131" s="135">
        <f>VLOOKUP(A131,'Main Data File'!$C$4:$U$146,14,FALSE)</f>
        <v>0</v>
      </c>
      <c r="BB131" s="135">
        <f>VLOOKUP(A131,'Main Data File'!$C$4:$U$146,15,FALSE)</f>
        <v>0</v>
      </c>
    </row>
    <row r="132" spans="1:54" ht="54" customHeight="1">
      <c r="A132" s="16" t="s">
        <v>184</v>
      </c>
      <c r="B132" s="16" t="str">
        <f>VLOOKUP(A132,'Main Data File'!$C$4:$U$146,19,FALSE)</f>
        <v>Boyd</v>
      </c>
      <c r="C132" s="16"/>
      <c r="D132" s="16"/>
      <c r="E132" s="129"/>
      <c r="F132" s="129">
        <v>104857</v>
      </c>
      <c r="G132" s="130">
        <f>VLOOKUP(A132,'Main Data File'!$C$4:$U$146,17,FALSE)</f>
        <v>570</v>
      </c>
      <c r="H132" s="129"/>
      <c r="I132" s="12" t="str">
        <f>VLOOKUP(A132,'Main Data File'!$C$4:$U$146,2,FALSE)</f>
        <v>Plastic Hose Shut Off</v>
      </c>
      <c r="J132" s="12" t="str">
        <f>VLOOKUP(A132,'Main Data File'!$C$4:$U$146,18,FALSE)</f>
        <v>Use back of World and Main card</v>
      </c>
      <c r="K132" s="129" t="s">
        <v>71</v>
      </c>
      <c r="L132" s="129"/>
      <c r="M132" s="129"/>
      <c r="N132" s="129"/>
      <c r="O132" s="129">
        <f>VLOOKUP(A132,'Main Data File'!$C$4:$U$146,3,FALSE)</f>
        <v>5.7</v>
      </c>
      <c r="P132" s="129">
        <f>VLOOKUP(A132,'Main Data File'!$C$4:$U$146,5,FALSE)</f>
        <v>3.5</v>
      </c>
      <c r="Q132" s="129">
        <f>VLOOKUP(A132,'Main Data File'!$C$4:$U$146,4,FALSE)</f>
        <v>3.65</v>
      </c>
      <c r="R132" s="129">
        <f>VLOOKUP(A132,'Main Data File'!$C$4:$U$146,6,FALSE)</f>
        <v>0.08</v>
      </c>
      <c r="S132" s="131">
        <f>VLOOKUP(A132,'Main Data File'!$C$4:$U$146,7,FALSE)</f>
        <v>4.213975694444444E-2</v>
      </c>
      <c r="T132" s="129" t="str">
        <f>VLOOKUP(A132,'Main Data File'!$C$4:$U$146,8,FALSE)</f>
        <v>Heat Formed Plastic</v>
      </c>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0"/>
      <c r="AQ132" s="132">
        <f>VLOOKUP(A132,'Main Data File'!$C$4:$U$146,10,FALSE)</f>
        <v>7995</v>
      </c>
      <c r="AR132" s="133" t="e">
        <f>VLOOKUP(A132,#REF!,44,FALSE)</f>
        <v>#REF!</v>
      </c>
      <c r="AS132" s="133" t="e">
        <f>VLOOKUP(A132,#REF!,24,FALSE)</f>
        <v>#REF!</v>
      </c>
      <c r="AT132" s="129"/>
      <c r="AU132" s="134" t="e">
        <f t="shared" ref="AU132:AU146" si="2">(AR132-AS132)/AR132</f>
        <v>#REF!</v>
      </c>
      <c r="AV132" s="139"/>
      <c r="AW132" s="133" t="e">
        <f>VLOOKUP(A132,#REF!,25,FALSE)</f>
        <v>#REF!</v>
      </c>
      <c r="AX132" s="133" t="str">
        <f>VLOOKUP(A132,'Lowe''s final SKU list'!$C$2:$Q$99,2,FALSE)</f>
        <v>YES</v>
      </c>
      <c r="AY132" s="135" t="str">
        <f>VLOOKUP(A132,'Main Data File'!$C$4:$U$146,16,FALSE)</f>
        <v>x</v>
      </c>
      <c r="AZ132" s="135" t="str">
        <f>VLOOKUP(A132,'Main Data File'!$C$4:$U$146,13,FALSE)</f>
        <v>x</v>
      </c>
      <c r="BA132" s="135">
        <f>VLOOKUP(A132,'Main Data File'!$C$4:$U$146,14,FALSE)</f>
        <v>0</v>
      </c>
      <c r="BB132" s="135" t="str">
        <f>VLOOKUP(A132,'Main Data File'!$C$4:$U$146,15,FALSE)</f>
        <v>x</v>
      </c>
    </row>
    <row r="133" spans="1:54" ht="54" customHeight="1">
      <c r="A133" s="16" t="s">
        <v>185</v>
      </c>
      <c r="B133" s="16" t="str">
        <f>VLOOKUP(A133,'Main Data File'!$C$4:$U$146,19,FALSE)</f>
        <v>Andy</v>
      </c>
      <c r="C133" s="16"/>
      <c r="D133" s="16"/>
      <c r="E133" s="129"/>
      <c r="F133" s="129" t="s">
        <v>1480</v>
      </c>
      <c r="G133" s="130" t="str">
        <f>VLOOKUP(A133,'Main Data File'!$C$4:$U$146,17,FALSE)</f>
        <v>24-2070</v>
      </c>
      <c r="H133" s="129"/>
      <c r="I133" s="12" t="str">
        <f>VLOOKUP(A133,'Main Data File'!$C$4:$U$146,2,FALSE)</f>
        <v>Plastic Garden Tub Faucet</v>
      </c>
      <c r="J133" s="12" t="str">
        <f>VLOOKUP(A133,'Main Data File'!$C$4:$U$146,18,FALSE)</f>
        <v>Write from scratch</v>
      </c>
      <c r="K133" s="129" t="s">
        <v>71</v>
      </c>
      <c r="L133" s="129"/>
      <c r="M133" s="129"/>
      <c r="N133" s="129"/>
      <c r="O133" s="129">
        <f>VLOOKUP(A133,'Main Data File'!$C$4:$U$146,3,FALSE)</f>
        <v>4</v>
      </c>
      <c r="P133" s="129">
        <f>VLOOKUP(A133,'Main Data File'!$C$4:$U$146,5,FALSE)</f>
        <v>11</v>
      </c>
      <c r="Q133" s="129">
        <f>VLOOKUP(A133,'Main Data File'!$C$4:$U$146,4,FALSE)</f>
        <v>6</v>
      </c>
      <c r="R133" s="129">
        <f>VLOOKUP(A133,'Main Data File'!$C$4:$U$146,6,FALSE)</f>
        <v>1.75</v>
      </c>
      <c r="S133" s="131">
        <f>VLOOKUP(A133,'Main Data File'!$C$4:$U$146,7,FALSE)</f>
        <v>0.15277777777777779</v>
      </c>
      <c r="T133" s="129" t="str">
        <f>VLOOKUP(A133,'Main Data File'!$C$4:$U$146,8,FALSE)</f>
        <v>Cardboard Box</v>
      </c>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0"/>
      <c r="AQ133" s="132">
        <f>VLOOKUP(A133,'Main Data File'!$C$4:$U$146,10,FALSE)</f>
        <v>340.00000000000006</v>
      </c>
      <c r="AR133" s="133" t="e">
        <f>VLOOKUP(A133,#REF!,44,FALSE)</f>
        <v>#REF!</v>
      </c>
      <c r="AS133" s="133" t="e">
        <f>VLOOKUP(A133,#REF!,24,FALSE)</f>
        <v>#REF!</v>
      </c>
      <c r="AT133" s="129"/>
      <c r="AU133" s="134" t="e">
        <f t="shared" si="2"/>
        <v>#REF!</v>
      </c>
      <c r="AV133" s="139"/>
      <c r="AW133" s="133" t="e">
        <f>VLOOKUP(A133,#REF!,25,FALSE)</f>
        <v>#REF!</v>
      </c>
      <c r="AX133" s="133" t="str">
        <f>VLOOKUP(A133,'Lowe''s final SKU list'!$C$2:$Q$99,2,FALSE)</f>
        <v>YES</v>
      </c>
      <c r="AY133" s="135" t="str">
        <f>VLOOKUP(A133,'Main Data File'!$C$4:$U$146,16,FALSE)</f>
        <v>x</v>
      </c>
      <c r="AZ133" s="135">
        <f>VLOOKUP(A133,'Main Data File'!$C$4:$U$146,13,FALSE)</f>
        <v>0</v>
      </c>
      <c r="BA133" s="135">
        <f>VLOOKUP(A133,'Main Data File'!$C$4:$U$146,14,FALSE)</f>
        <v>0</v>
      </c>
      <c r="BB133" s="135">
        <f>VLOOKUP(A133,'Main Data File'!$C$4:$U$146,15,FALSE)</f>
        <v>0</v>
      </c>
    </row>
    <row r="134" spans="1:54" ht="54" customHeight="1">
      <c r="A134" s="16" t="s">
        <v>186</v>
      </c>
      <c r="B134" s="16" t="str">
        <f>VLOOKUP(A134,'Main Data File'!$C$4:$U$146,19,FALSE)</f>
        <v>Andy</v>
      </c>
      <c r="C134" s="16"/>
      <c r="D134" s="16"/>
      <c r="E134" s="129"/>
      <c r="F134" s="129" t="s">
        <v>187</v>
      </c>
      <c r="G134" s="130" t="str">
        <f>VLOOKUP(A134,'Main Data File'!$C$4:$U$146,17,FALSE)</f>
        <v>DVC-M</v>
      </c>
      <c r="H134" s="129"/>
      <c r="I134" s="12" t="str">
        <f>VLOOKUP(A134,'Main Data File'!$C$4:$U$146,2,FALSE)</f>
        <v>Vent/Waste Hose Clamps With Wing Nuts 2/Card</v>
      </c>
      <c r="J134" s="12" t="str">
        <f>VLOOKUP(A134,'Main Data File'!$C$4:$U$146,18,FALSE)</f>
        <v>Use back of World and Main card</v>
      </c>
      <c r="K134" s="129" t="s">
        <v>71</v>
      </c>
      <c r="L134" s="129"/>
      <c r="M134" s="129"/>
      <c r="N134" s="129"/>
      <c r="O134" s="129">
        <f>VLOOKUP(A134,'Main Data File'!$C$4:$U$146,3,FALSE)</f>
        <v>5.4</v>
      </c>
      <c r="P134" s="129">
        <f>VLOOKUP(A134,'Main Data File'!$C$4:$U$146,5,FALSE)</f>
        <v>1.25</v>
      </c>
      <c r="Q134" s="129">
        <f>VLOOKUP(A134,'Main Data File'!$C$4:$U$146,4,FALSE)</f>
        <v>5.3</v>
      </c>
      <c r="R134" s="129">
        <f>VLOOKUP(A134,'Main Data File'!$C$4:$U$146,6,FALSE)</f>
        <v>0.2</v>
      </c>
      <c r="S134" s="131">
        <f>VLOOKUP(A134,'Main Data File'!$C$4:$U$146,7,FALSE)</f>
        <v>2.0703124999999999E-2</v>
      </c>
      <c r="T134" s="129" t="str">
        <f>VLOOKUP(A134,'Main Data File'!$C$4:$U$146,8,FALSE)</f>
        <v>Bagged</v>
      </c>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0"/>
      <c r="AQ134" s="132">
        <f>VLOOKUP(A134,'Main Data File'!$C$4:$U$146,10,FALSE)</f>
        <v>28782</v>
      </c>
      <c r="AR134" s="133" t="e">
        <f>VLOOKUP(A134,#REF!,44,FALSE)</f>
        <v>#REF!</v>
      </c>
      <c r="AS134" s="133" t="e">
        <f>VLOOKUP(A134,#REF!,24,FALSE)</f>
        <v>#REF!</v>
      </c>
      <c r="AT134" s="129"/>
      <c r="AU134" s="134" t="e">
        <f t="shared" si="2"/>
        <v>#REF!</v>
      </c>
      <c r="AV134" s="139"/>
      <c r="AW134" s="133" t="e">
        <f>VLOOKUP(A134,#REF!,25,FALSE)</f>
        <v>#REF!</v>
      </c>
      <c r="AX134" s="133" t="str">
        <f>VLOOKUP(A134,'Lowe''s final SKU list'!$C$2:$Q$99,2,FALSE)</f>
        <v>YES</v>
      </c>
      <c r="AY134" s="135" t="str">
        <f>VLOOKUP(A134,'Main Data File'!$C$4:$U$146,16,FALSE)</f>
        <v>x</v>
      </c>
      <c r="AZ134" s="135" t="str">
        <f>VLOOKUP(A134,'Main Data File'!$C$4:$U$146,13,FALSE)</f>
        <v>x</v>
      </c>
      <c r="BA134" s="135">
        <f>VLOOKUP(A134,'Main Data File'!$C$4:$U$146,14,FALSE)</f>
        <v>0</v>
      </c>
      <c r="BB134" s="135" t="str">
        <f>VLOOKUP(A134,'Main Data File'!$C$4:$U$146,15,FALSE)</f>
        <v>x</v>
      </c>
    </row>
    <row r="135" spans="1:54" ht="54" customHeight="1">
      <c r="A135" s="16" t="s">
        <v>188</v>
      </c>
      <c r="B135" s="16" t="str">
        <f>VLOOKUP(A135,'Main Data File'!$C$4:$U$146,19,FALSE)</f>
        <v>Andy</v>
      </c>
      <c r="C135" s="16"/>
      <c r="D135" s="16"/>
      <c r="E135" s="129"/>
      <c r="F135" s="129" t="e">
        <v>#N/A</v>
      </c>
      <c r="G135" s="130">
        <f>VLOOKUP(A135,'Main Data File'!$C$4:$U$146,17,FALSE)</f>
        <v>0</v>
      </c>
      <c r="H135" s="129"/>
      <c r="I135" s="12" t="str">
        <f>VLOOKUP(A135,'Main Data File'!$C$4:$U$146,2,FALSE)</f>
        <v>7J-9D Plastic Phoenix Diverter Stem</v>
      </c>
      <c r="J135" s="12" t="str">
        <f>VLOOKUP(A135,'Main Data File'!$C$4:$U$146,18,FALSE)</f>
        <v>See RVP100</v>
      </c>
      <c r="K135" s="129" t="s">
        <v>71</v>
      </c>
      <c r="L135" s="129"/>
      <c r="M135" s="129"/>
      <c r="N135" s="129"/>
      <c r="O135" s="129">
        <f>VLOOKUP(A135,'Main Data File'!$C$4:$U$146,3,FALSE)</f>
        <v>5.7</v>
      </c>
      <c r="P135" s="129">
        <f>VLOOKUP(A135,'Main Data File'!$C$4:$U$146,5,FALSE)</f>
        <v>2</v>
      </c>
      <c r="Q135" s="129">
        <f>VLOOKUP(A135,'Main Data File'!$C$4:$U$146,4,FALSE)</f>
        <v>3.65</v>
      </c>
      <c r="R135" s="129">
        <f>VLOOKUP(A135,'Main Data File'!$C$4:$U$146,6,FALSE)</f>
        <v>0.1</v>
      </c>
      <c r="S135" s="131">
        <f>VLOOKUP(A135,'Main Data File'!$C$4:$U$146,7,FALSE)</f>
        <v>2.4079861111111111E-2</v>
      </c>
      <c r="T135" s="129" t="str">
        <f>VLOOKUP(A135,'Main Data File'!$C$4:$U$146,8,FALSE)</f>
        <v>Heat Formed Plastic</v>
      </c>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0"/>
      <c r="AQ135" s="132">
        <f>VLOOKUP(A135,'Main Data File'!$C$4:$U$146,10,FALSE)</f>
        <v>340.00000000000006</v>
      </c>
      <c r="AR135" s="133" t="e">
        <f>VLOOKUP(A135,#REF!,44,FALSE)</f>
        <v>#REF!</v>
      </c>
      <c r="AS135" s="133" t="e">
        <f>VLOOKUP(A135,#REF!,24,FALSE)</f>
        <v>#REF!</v>
      </c>
      <c r="AT135" s="129"/>
      <c r="AU135" s="134" t="e">
        <f t="shared" si="2"/>
        <v>#REF!</v>
      </c>
      <c r="AV135" s="139" t="s">
        <v>85</v>
      </c>
      <c r="AW135" s="133" t="e">
        <f>VLOOKUP(A135,#REF!,25,FALSE)</f>
        <v>#REF!</v>
      </c>
      <c r="AX135" s="133" t="str">
        <f>VLOOKUP(A135,'Lowe''s final SKU list'!$C$2:$Q$99,2,FALSE)</f>
        <v>YES</v>
      </c>
      <c r="AY135" s="135" t="str">
        <f>VLOOKUP(A135,'Main Data File'!$C$4:$U$146,16,FALSE)</f>
        <v>x</v>
      </c>
      <c r="AZ135" s="135">
        <f>VLOOKUP(A135,'Main Data File'!$C$4:$U$146,13,FALSE)</f>
        <v>0</v>
      </c>
      <c r="BA135" s="135">
        <f>VLOOKUP(A135,'Main Data File'!$C$4:$U$146,14,FALSE)</f>
        <v>0</v>
      </c>
      <c r="BB135" s="135">
        <f>VLOOKUP(A135,'Main Data File'!$C$4:$U$146,15,FALSE)</f>
        <v>0</v>
      </c>
    </row>
    <row r="136" spans="1:54" ht="54" customHeight="1">
      <c r="A136" s="16" t="s">
        <v>190</v>
      </c>
      <c r="B136" s="16" t="str">
        <f>VLOOKUP(A136,'Main Data File'!$C$4:$U$146,19,FALSE)</f>
        <v>Andy</v>
      </c>
      <c r="C136" s="16"/>
      <c r="D136" s="16"/>
      <c r="E136" s="129"/>
      <c r="F136" s="129"/>
      <c r="G136" s="130">
        <f>VLOOKUP(A136,'Main Data File'!$C$4:$U$146,17,FALSE)</f>
        <v>0</v>
      </c>
      <c r="H136" s="129"/>
      <c r="I136" s="12" t="str">
        <f>VLOOKUP(A136,'Main Data File'!$C$4:$U$146,2,FALSE)</f>
        <v>Drinking Water Garden Hose - 50'</v>
      </c>
      <c r="J136" s="12" t="str">
        <f>VLOOKUP(A136,'Main Data File'!$C$4:$U$146,18,FALSE)</f>
        <v>Modify Camco Hose card</v>
      </c>
      <c r="K136" s="129" t="s">
        <v>71</v>
      </c>
      <c r="L136" s="129"/>
      <c r="M136" s="129"/>
      <c r="N136" s="129"/>
      <c r="O136" s="129">
        <f>VLOOKUP(A136,'Main Data File'!$C$4:$U$146,3,FALSE)</f>
        <v>6</v>
      </c>
      <c r="P136" s="129">
        <f>VLOOKUP(A136,'Main Data File'!$C$4:$U$146,5,FALSE)</f>
        <v>12</v>
      </c>
      <c r="Q136" s="129">
        <f>VLOOKUP(A136,'Main Data File'!$C$4:$U$146,4,FALSE)</f>
        <v>12</v>
      </c>
      <c r="R136" s="129" t="str">
        <f>VLOOKUP(A136,'Main Data File'!$C$4:$U$146,6,FALSE)</f>
        <v>TBD</v>
      </c>
      <c r="S136" s="131" t="str">
        <f>VLOOKUP(A136,'Main Data File'!$C$4:$U$146,7,FALSE)</f>
        <v>TBD</v>
      </c>
      <c r="T136" s="129" t="str">
        <f>VLOOKUP(A136,'Main Data File'!$C$4:$U$146,8,FALSE)</f>
        <v>Banded</v>
      </c>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0"/>
      <c r="AQ136" s="132">
        <f>VLOOKUP(A136,'Main Data File'!$C$4:$U$146,10,FALSE)</f>
        <v>19188</v>
      </c>
      <c r="AR136" s="133" t="e">
        <f>VLOOKUP(A136,#REF!,44,FALSE)</f>
        <v>#REF!</v>
      </c>
      <c r="AS136" s="133" t="e">
        <f>VLOOKUP(A136,#REF!,24,FALSE)</f>
        <v>#REF!</v>
      </c>
      <c r="AT136" s="129"/>
      <c r="AU136" s="134" t="e">
        <f t="shared" si="2"/>
        <v>#REF!</v>
      </c>
      <c r="AV136" s="139"/>
      <c r="AW136" s="133" t="e">
        <f>VLOOKUP(A136,#REF!,25,FALSE)</f>
        <v>#REF!</v>
      </c>
      <c r="AX136" s="133" t="str">
        <f>VLOOKUP(A136,'Lowe''s final SKU list'!$C$2:$Q$99,2,FALSE)</f>
        <v>YES</v>
      </c>
      <c r="AY136" s="135" t="str">
        <f>VLOOKUP(A136,'Main Data File'!$C$4:$U$146,16,FALSE)</f>
        <v>x</v>
      </c>
      <c r="AZ136" s="135" t="str">
        <f>VLOOKUP(A136,'Main Data File'!$C$4:$U$146,13,FALSE)</f>
        <v>x</v>
      </c>
      <c r="BA136" s="135">
        <f>VLOOKUP(A136,'Main Data File'!$C$4:$U$146,14,FALSE)</f>
        <v>0</v>
      </c>
      <c r="BB136" s="135" t="str">
        <f>VLOOKUP(A136,'Main Data File'!$C$4:$U$146,15,FALSE)</f>
        <v>x</v>
      </c>
    </row>
    <row r="137" spans="1:54" ht="54" hidden="1" customHeight="1">
      <c r="A137" s="16" t="s">
        <v>516</v>
      </c>
      <c r="B137" s="16" t="str">
        <f>VLOOKUP(A137,'Main Data File'!$C$4:$U$146,19,FALSE)</f>
        <v>Mike</v>
      </c>
      <c r="C137" s="16"/>
      <c r="D137" s="16"/>
      <c r="E137" s="129"/>
      <c r="F137" s="129" t="e">
        <v>#N/A</v>
      </c>
      <c r="G137" s="130">
        <f>VLOOKUP(A137,'Main Data File'!$C$4:$U$146,17,FALSE)</f>
        <v>0</v>
      </c>
      <c r="H137" s="129"/>
      <c r="I137" s="12" t="str">
        <f>VLOOKUP(A137,'Main Data File'!$C$4:$U$146,2,FALSE)</f>
        <v>New Style Entry Lockset / Deadbolt for RV - Black</v>
      </c>
      <c r="J137" s="12" t="str">
        <f>VLOOKUP(A137,'Main Data File'!$C$4:$U$146,18,FALSE)</f>
        <v>See box on Andrew's desk</v>
      </c>
      <c r="K137" s="129" t="s">
        <v>71</v>
      </c>
      <c r="L137" s="129"/>
      <c r="M137" s="129"/>
      <c r="N137" s="129"/>
      <c r="O137" s="129">
        <f>VLOOKUP(A137,'Main Data File'!$C$4:$U$146,3,FALSE)</f>
        <v>8.5</v>
      </c>
      <c r="P137" s="129">
        <f>VLOOKUP(A137,'Main Data File'!$C$4:$U$146,5,FALSE)</f>
        <v>4.25</v>
      </c>
      <c r="Q137" s="129">
        <f>VLOOKUP(A137,'Main Data File'!$C$4:$U$146,4,FALSE)</f>
        <v>8.5</v>
      </c>
      <c r="R137" s="129">
        <f>VLOOKUP(A137,'Main Data File'!$C$4:$U$146,6,FALSE)</f>
        <v>3</v>
      </c>
      <c r="S137" s="131">
        <f>VLOOKUP(A137,'Main Data File'!$C$4:$U$146,7,FALSE)</f>
        <v>0.17769820601851852</v>
      </c>
      <c r="T137" s="129" t="str">
        <f>VLOOKUP(A137,'Main Data File'!$C$4:$U$146,8,FALSE)</f>
        <v>Heat Formed Plastic</v>
      </c>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0"/>
      <c r="AQ137" s="132">
        <f>VLOOKUP(A137,'Main Data File'!$C$4:$U$146,10,FALSE)</f>
        <v>340.00000000000006</v>
      </c>
      <c r="AR137" s="133" t="e">
        <f>VLOOKUP(A137,#REF!,44,FALSE)</f>
        <v>#REF!</v>
      </c>
      <c r="AS137" s="133" t="e">
        <f>VLOOKUP(A137,#REF!,24,FALSE)</f>
        <v>#REF!</v>
      </c>
      <c r="AT137" s="129"/>
      <c r="AU137" s="134" t="e">
        <f t="shared" si="2"/>
        <v>#REF!</v>
      </c>
      <c r="AV137" s="139"/>
      <c r="AW137" s="133" t="e">
        <f>VLOOKUP(A137,#REF!,25,FALSE)</f>
        <v>#REF!</v>
      </c>
      <c r="AX137" s="133" t="e">
        <f>VLOOKUP(A137,'Lowe''s final SKU list'!$C$2:$Q$99,2,FALSE)</f>
        <v>#N/A</v>
      </c>
      <c r="AY137" s="135" t="str">
        <f>VLOOKUP(A137,'Main Data File'!$C$4:$U$146,16,FALSE)</f>
        <v>x</v>
      </c>
      <c r="AZ137" s="135">
        <f>VLOOKUP(A137,'Main Data File'!$C$4:$U$146,13,FALSE)</f>
        <v>0</v>
      </c>
      <c r="BA137" s="135">
        <f>VLOOKUP(A137,'Main Data File'!$C$4:$U$146,14,FALSE)</f>
        <v>0</v>
      </c>
      <c r="BB137" s="135">
        <f>VLOOKUP(A137,'Main Data File'!$C$4:$U$146,15,FALSE)</f>
        <v>0</v>
      </c>
    </row>
    <row r="138" spans="1:54" ht="54" hidden="1" customHeight="1">
      <c r="A138" s="16" t="s">
        <v>518</v>
      </c>
      <c r="B138" s="16" t="str">
        <f>VLOOKUP(A138,'Main Data File'!$C$4:$U$146,19,FALSE)</f>
        <v>Mike</v>
      </c>
      <c r="C138" s="16"/>
      <c r="D138" s="16"/>
      <c r="E138" s="129"/>
      <c r="F138" s="129" t="e">
        <v>#N/A</v>
      </c>
      <c r="G138" s="130">
        <f>VLOOKUP(A138,'Main Data File'!$C$4:$U$146,17,FALSE)</f>
        <v>0</v>
      </c>
      <c r="H138" s="129"/>
      <c r="I138" s="12" t="str">
        <f>VLOOKUP(A138,'Main Data File'!$C$4:$U$146,2,FALSE)</f>
        <v>New Style Entry Lockset / Deadbolt for RV - White</v>
      </c>
      <c r="J138" s="12" t="str">
        <f>VLOOKUP(A138,'Main Data File'!$C$4:$U$146,18,FALSE)</f>
        <v>See box on Andrew's desk</v>
      </c>
      <c r="K138" s="129" t="s">
        <v>71</v>
      </c>
      <c r="L138" s="129"/>
      <c r="M138" s="129"/>
      <c r="N138" s="129"/>
      <c r="O138" s="129">
        <f>VLOOKUP(A138,'Main Data File'!$C$4:$U$146,3,FALSE)</f>
        <v>8.5</v>
      </c>
      <c r="P138" s="129">
        <f>VLOOKUP(A138,'Main Data File'!$C$4:$U$146,5,FALSE)</f>
        <v>4.25</v>
      </c>
      <c r="Q138" s="129">
        <f>VLOOKUP(A138,'Main Data File'!$C$4:$U$146,4,FALSE)</f>
        <v>8.5</v>
      </c>
      <c r="R138" s="129">
        <f>VLOOKUP(A138,'Main Data File'!$C$4:$U$146,6,FALSE)</f>
        <v>3</v>
      </c>
      <c r="S138" s="131">
        <f>VLOOKUP(A138,'Main Data File'!$C$4:$U$146,7,FALSE)</f>
        <v>0.17769820601851852</v>
      </c>
      <c r="T138" s="129" t="str">
        <f>VLOOKUP(A138,'Main Data File'!$C$4:$U$146,8,FALSE)</f>
        <v>Heat Formed Plastic</v>
      </c>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0"/>
      <c r="AQ138" s="132">
        <f>VLOOKUP(A138,'Main Data File'!$C$4:$U$146,10,FALSE)</f>
        <v>340.00000000000006</v>
      </c>
      <c r="AR138" s="133" t="e">
        <f>VLOOKUP(A138,#REF!,44,FALSE)</f>
        <v>#REF!</v>
      </c>
      <c r="AS138" s="133" t="e">
        <f>VLOOKUP(A138,#REF!,24,FALSE)</f>
        <v>#REF!</v>
      </c>
      <c r="AT138" s="129"/>
      <c r="AU138" s="134" t="e">
        <f t="shared" si="2"/>
        <v>#REF!</v>
      </c>
      <c r="AV138" s="139"/>
      <c r="AW138" s="133" t="e">
        <f>VLOOKUP(A138,#REF!,25,FALSE)</f>
        <v>#REF!</v>
      </c>
      <c r="AX138" s="133" t="e">
        <f>VLOOKUP(A138,'Lowe''s final SKU list'!$C$2:$Q$99,2,FALSE)</f>
        <v>#N/A</v>
      </c>
      <c r="AY138" s="135" t="str">
        <f>VLOOKUP(A138,'Main Data File'!$C$4:$U$146,16,FALSE)</f>
        <v>x</v>
      </c>
      <c r="AZ138" s="135">
        <f>VLOOKUP(A138,'Main Data File'!$C$4:$U$146,13,FALSE)</f>
        <v>0</v>
      </c>
      <c r="BA138" s="135">
        <f>VLOOKUP(A138,'Main Data File'!$C$4:$U$146,14,FALSE)</f>
        <v>0</v>
      </c>
      <c r="BB138" s="135">
        <f>VLOOKUP(A138,'Main Data File'!$C$4:$U$146,15,FALSE)</f>
        <v>0</v>
      </c>
    </row>
    <row r="139" spans="1:54" ht="54" customHeight="1">
      <c r="A139" s="16" t="s">
        <v>192</v>
      </c>
      <c r="B139" s="16" t="str">
        <f>VLOOKUP(A139,'Main Data File'!$C$4:$U$146,19,FALSE)</f>
        <v>Mike</v>
      </c>
      <c r="C139" s="16"/>
      <c r="D139" s="16"/>
      <c r="E139" s="129"/>
      <c r="F139" s="129"/>
      <c r="G139" s="130">
        <f>VLOOKUP(A139,'Main Data File'!$C$4:$U$146,17,FALSE)</f>
        <v>0</v>
      </c>
      <c r="H139" s="129"/>
      <c r="I139" s="12" t="str">
        <f>VLOOKUP(A139,'Main Data File'!$C$4:$U$146,2,FALSE)</f>
        <v>New Style Entry Lockset / Deadbolt for RV - Stainless Steel</v>
      </c>
      <c r="J139" s="12" t="str">
        <f>VLOOKUP(A139,'Main Data File'!$C$4:$U$146,18,FALSE)</f>
        <v>See box on Andrew's desk</v>
      </c>
      <c r="K139" s="129" t="s">
        <v>71</v>
      </c>
      <c r="L139" s="129"/>
      <c r="M139" s="129"/>
      <c r="N139" s="129"/>
      <c r="O139" s="129">
        <f>VLOOKUP(A139,'Main Data File'!$C$4:$U$146,3,FALSE)</f>
        <v>8.5</v>
      </c>
      <c r="P139" s="129">
        <f>VLOOKUP(A139,'Main Data File'!$C$4:$U$146,5,FALSE)</f>
        <v>4.25</v>
      </c>
      <c r="Q139" s="129">
        <f>VLOOKUP(A139,'Main Data File'!$C$4:$U$146,4,FALSE)</f>
        <v>8.5</v>
      </c>
      <c r="R139" s="129">
        <f>VLOOKUP(A139,'Main Data File'!$C$4:$U$146,6,FALSE)</f>
        <v>3</v>
      </c>
      <c r="S139" s="131">
        <f>VLOOKUP(A139,'Main Data File'!$C$4:$U$146,7,FALSE)</f>
        <v>0.17769820601851852</v>
      </c>
      <c r="T139" s="129" t="str">
        <f>VLOOKUP(A139,'Main Data File'!$C$4:$U$146,8,FALSE)</f>
        <v>Heat Formed Plastic</v>
      </c>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0"/>
      <c r="AQ139" s="132">
        <f>VLOOKUP(A139,'Main Data File'!$C$4:$U$146,10,FALSE)</f>
        <v>7515</v>
      </c>
      <c r="AR139" s="133" t="e">
        <f>VLOOKUP(A139,#REF!,44,FALSE)</f>
        <v>#REF!</v>
      </c>
      <c r="AS139" s="133" t="e">
        <f>VLOOKUP(A139,#REF!,24,FALSE)</f>
        <v>#REF!</v>
      </c>
      <c r="AT139" s="129"/>
      <c r="AU139" s="134" t="e">
        <f t="shared" si="2"/>
        <v>#REF!</v>
      </c>
      <c r="AV139" s="139"/>
      <c r="AW139" s="133" t="e">
        <f>VLOOKUP(A139,#REF!,25,FALSE)</f>
        <v>#REF!</v>
      </c>
      <c r="AX139" s="133" t="str">
        <f>VLOOKUP(A139,'Lowe''s final SKU list'!$C$2:$Q$99,2,FALSE)</f>
        <v>YES</v>
      </c>
      <c r="AY139" s="135" t="str">
        <f>VLOOKUP(A139,'Main Data File'!$C$4:$U$146,16,FALSE)</f>
        <v>x</v>
      </c>
      <c r="AZ139" s="135" t="str">
        <f>VLOOKUP(A139,'Main Data File'!$C$4:$U$146,13,FALSE)</f>
        <v>x</v>
      </c>
      <c r="BA139" s="135">
        <f>VLOOKUP(A139,'Main Data File'!$C$4:$U$146,14,FALSE)</f>
        <v>0</v>
      </c>
      <c r="BB139" s="135">
        <f>VLOOKUP(A139,'Main Data File'!$C$4:$U$146,15,FALSE)</f>
        <v>0</v>
      </c>
    </row>
    <row r="140" spans="1:54" ht="54" customHeight="1">
      <c r="A140" s="16" t="s">
        <v>193</v>
      </c>
      <c r="B140" s="16" t="str">
        <f>VLOOKUP(A140,'Main Data File'!$C$4:$U$146,19,FALSE)</f>
        <v>Boyd</v>
      </c>
      <c r="C140" s="16"/>
      <c r="D140" s="16"/>
      <c r="E140" s="129"/>
      <c r="F140" s="129" t="s">
        <v>194</v>
      </c>
      <c r="G140" s="130" t="str">
        <f>VLOOKUP(A140,'Main Data File'!$C$4:$U$146,17,FALSE)</f>
        <v>C0494</v>
      </c>
      <c r="H140" s="129"/>
      <c r="I140" s="12" t="str">
        <f>VLOOKUP(A140,'Main Data File'!$C$4:$U$146,2,FALSE)</f>
        <v>3-Pack Filter Hose Washers</v>
      </c>
      <c r="J140" s="12" t="str">
        <f>VLOOKUP(A140,'Main Data File'!$C$4:$U$146,18,FALSE)</f>
        <v>Use back of World and Main card</v>
      </c>
      <c r="K140" s="129" t="s">
        <v>71</v>
      </c>
      <c r="L140" s="129"/>
      <c r="M140" s="129"/>
      <c r="N140" s="129"/>
      <c r="O140" s="129">
        <f>VLOOKUP(A140,'Main Data File'!$C$4:$U$146,3,FALSE)</f>
        <v>5.7</v>
      </c>
      <c r="P140" s="129">
        <f>VLOOKUP(A140,'Main Data File'!$C$4:$U$146,5,FALSE)</f>
        <v>0.5</v>
      </c>
      <c r="Q140" s="129">
        <f>VLOOKUP(A140,'Main Data File'!$C$4:$U$146,4,FALSE)</f>
        <v>3.65</v>
      </c>
      <c r="R140" s="129" t="str">
        <f>VLOOKUP(A140,'Main Data File'!$C$4:$U$146,6,FALSE)</f>
        <v>TBD</v>
      </c>
      <c r="S140" s="131" t="str">
        <f>VLOOKUP(A140,'Main Data File'!$C$4:$U$146,7,FALSE)</f>
        <v>TBD</v>
      </c>
      <c r="T140" s="129" t="str">
        <f>VLOOKUP(A140,'Main Data File'!$C$4:$U$146,8,FALSE)</f>
        <v>Heat Formed Plastic</v>
      </c>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0"/>
      <c r="AQ140" s="132">
        <f>VLOOKUP(A140,'Main Data File'!$C$4:$U$146,10,FALSE)</f>
        <v>17150</v>
      </c>
      <c r="AR140" s="133" t="e">
        <f>VLOOKUP(A140,#REF!,44,FALSE)</f>
        <v>#REF!</v>
      </c>
      <c r="AS140" s="133" t="e">
        <f>VLOOKUP(A140,#REF!,24,FALSE)</f>
        <v>#REF!</v>
      </c>
      <c r="AT140" s="129"/>
      <c r="AU140" s="134" t="e">
        <f t="shared" si="2"/>
        <v>#REF!</v>
      </c>
      <c r="AV140" s="139"/>
      <c r="AW140" s="133" t="e">
        <f>VLOOKUP(A140,#REF!,25,FALSE)</f>
        <v>#REF!</v>
      </c>
      <c r="AX140" s="133" t="str">
        <f>VLOOKUP(A140,'Lowe''s final SKU list'!$C$2:$Q$99,2,FALSE)</f>
        <v>YES</v>
      </c>
      <c r="AY140" s="135" t="str">
        <f>VLOOKUP(A140,'Main Data File'!$C$4:$U$146,16,FALSE)</f>
        <v>x</v>
      </c>
      <c r="AZ140" s="135" t="str">
        <f>VLOOKUP(A140,'Main Data File'!$C$4:$U$146,13,FALSE)</f>
        <v>x</v>
      </c>
      <c r="BA140" s="135" t="str">
        <f>VLOOKUP(A140,'Main Data File'!$C$4:$U$146,14,FALSE)</f>
        <v>x</v>
      </c>
      <c r="BB140" s="135" t="str">
        <f>VLOOKUP(A140,'Main Data File'!$C$4:$U$146,15,FALSE)</f>
        <v>x</v>
      </c>
    </row>
    <row r="141" spans="1:54" ht="54" customHeight="1">
      <c r="A141" s="16" t="s">
        <v>195</v>
      </c>
      <c r="B141" s="16" t="str">
        <f>VLOOKUP(A141,'Main Data File'!$C$4:$U$146,19,FALSE)</f>
        <v>Boyd</v>
      </c>
      <c r="C141" s="16"/>
      <c r="D141" s="16"/>
      <c r="E141" s="129"/>
      <c r="F141" s="129" t="e">
        <v>#N/A</v>
      </c>
      <c r="G141" s="130">
        <f>VLOOKUP(A141,'Main Data File'!$C$4:$U$146,17,FALSE)</f>
        <v>0</v>
      </c>
      <c r="H141" s="129"/>
      <c r="I141" s="12" t="str">
        <f>VLOOKUP(A141,'Main Data File'!$C$4:$U$146,2,FALSE)</f>
        <v>MGHT x FGHT x 90^ Adapter Brass</v>
      </c>
      <c r="J141" s="12" t="str">
        <f>VLOOKUP(A141,'Main Data File'!$C$4:$U$146,18,FALSE)</f>
        <v>Write from scratch</v>
      </c>
      <c r="K141" s="129" t="s">
        <v>71</v>
      </c>
      <c r="L141" s="129"/>
      <c r="M141" s="129"/>
      <c r="N141" s="129"/>
      <c r="O141" s="129">
        <f>VLOOKUP(A141,'Main Data File'!$C$4:$U$146,3,FALSE)</f>
        <v>5.7</v>
      </c>
      <c r="P141" s="129">
        <f>VLOOKUP(A141,'Main Data File'!$C$4:$U$146,5,FALSE)</f>
        <v>1</v>
      </c>
      <c r="Q141" s="129">
        <f>VLOOKUP(A141,'Main Data File'!$C$4:$U$146,4,FALSE)</f>
        <v>3.65</v>
      </c>
      <c r="R141" s="129" t="str">
        <f>VLOOKUP(A141,'Main Data File'!$C$4:$U$146,6,FALSE)</f>
        <v>TBD</v>
      </c>
      <c r="S141" s="131" t="str">
        <f>VLOOKUP(A141,'Main Data File'!$C$4:$U$146,7,FALSE)</f>
        <v>TBD</v>
      </c>
      <c r="T141" s="129" t="str">
        <f>VLOOKUP(A141,'Main Data File'!$C$4:$U$146,8,FALSE)</f>
        <v>Heat Formed Plastic</v>
      </c>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0"/>
      <c r="AQ141" s="132">
        <f>VLOOKUP(A141,'Main Data File'!$C$4:$U$146,10,FALSE)</f>
        <v>12792</v>
      </c>
      <c r="AR141" s="133" t="e">
        <f>VLOOKUP(A141,#REF!,44,FALSE)</f>
        <v>#REF!</v>
      </c>
      <c r="AS141" s="133" t="e">
        <f>VLOOKUP(A141,#REF!,24,FALSE)</f>
        <v>#REF!</v>
      </c>
      <c r="AT141" s="129"/>
      <c r="AU141" s="134" t="e">
        <f t="shared" si="2"/>
        <v>#REF!</v>
      </c>
      <c r="AV141" s="139"/>
      <c r="AW141" s="133" t="e">
        <f>VLOOKUP(A141,#REF!,25,FALSE)</f>
        <v>#REF!</v>
      </c>
      <c r="AX141" s="133" t="str">
        <f>VLOOKUP(A141,'Lowe''s final SKU list'!$C$2:$Q$99,2,FALSE)</f>
        <v>YES</v>
      </c>
      <c r="AY141" s="135" t="str">
        <f>VLOOKUP(A141,'Main Data File'!$C$4:$U$146,16,FALSE)</f>
        <v>x</v>
      </c>
      <c r="AZ141" s="135" t="str">
        <f>VLOOKUP(A141,'Main Data File'!$C$4:$U$146,13,FALSE)</f>
        <v>x</v>
      </c>
      <c r="BA141" s="135">
        <f>VLOOKUP(A141,'Main Data File'!$C$4:$U$146,14,FALSE)</f>
        <v>0</v>
      </c>
      <c r="BB141" s="135" t="str">
        <f>VLOOKUP(A141,'Main Data File'!$C$4:$U$146,15,FALSE)</f>
        <v>x</v>
      </c>
    </row>
    <row r="142" spans="1:54" ht="54" customHeight="1">
      <c r="A142" s="16" t="s">
        <v>196</v>
      </c>
      <c r="B142" s="16" t="str">
        <f>VLOOKUP(A142,'Main Data File'!$C$4:$U$146,19,FALSE)</f>
        <v>Boyd</v>
      </c>
      <c r="C142" s="16"/>
      <c r="D142" s="16"/>
      <c r="E142" s="129"/>
      <c r="F142" s="129" t="s">
        <v>197</v>
      </c>
      <c r="G142" s="130" t="str">
        <f>VLOOKUP(A142,'Main Data File'!$C$4:$U$146,17,FALSE)</f>
        <v>569</v>
      </c>
      <c r="H142" s="129"/>
      <c r="I142" s="12" t="str">
        <f>VLOOKUP(A142,'Main Data File'!$C$4:$U$146,2,FALSE)</f>
        <v>Plastic Hose "Y" Connector With Shut-Offs</v>
      </c>
      <c r="J142" s="12" t="str">
        <f>VLOOKUP(A142,'Main Data File'!$C$4:$U$146,18,FALSE)</f>
        <v>Use back of World and Main card</v>
      </c>
      <c r="K142" s="129" t="s">
        <v>71</v>
      </c>
      <c r="L142" s="129"/>
      <c r="M142" s="129"/>
      <c r="N142" s="129"/>
      <c r="O142" s="129">
        <f>VLOOKUP(A142,'Main Data File'!$C$4:$U$146,3,FALSE)</f>
        <v>5.7</v>
      </c>
      <c r="P142" s="129">
        <f>VLOOKUP(A142,'Main Data File'!$C$4:$U$146,5,FALSE)</f>
        <v>2</v>
      </c>
      <c r="Q142" s="129">
        <f>VLOOKUP(A142,'Main Data File'!$C$4:$U$146,4,FALSE)</f>
        <v>3.65</v>
      </c>
      <c r="R142" s="129">
        <f>VLOOKUP(A142,'Main Data File'!$C$4:$U$146,6,FALSE)</f>
        <v>0.1</v>
      </c>
      <c r="S142" s="131">
        <f>VLOOKUP(A142,'Main Data File'!$C$4:$U$146,7,FALSE)</f>
        <v>2.4079861111111111E-2</v>
      </c>
      <c r="T142" s="129" t="str">
        <f>VLOOKUP(A142,'Main Data File'!$C$4:$U$146,8,FALSE)</f>
        <v>Heat Formed Plastic</v>
      </c>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0"/>
      <c r="AQ142" s="132">
        <f>VLOOKUP(A142,'Main Data File'!$C$4:$U$146,10,FALSE)</f>
        <v>340.00000000000006</v>
      </c>
      <c r="AR142" s="133" t="e">
        <f>VLOOKUP(A142,#REF!,44,FALSE)</f>
        <v>#REF!</v>
      </c>
      <c r="AS142" s="133" t="e">
        <f>VLOOKUP(A142,#REF!,24,FALSE)</f>
        <v>#REF!</v>
      </c>
      <c r="AT142" s="129"/>
      <c r="AU142" s="134" t="e">
        <f t="shared" si="2"/>
        <v>#REF!</v>
      </c>
      <c r="AV142" s="139"/>
      <c r="AW142" s="133" t="e">
        <f>VLOOKUP(A142,#REF!,25,FALSE)</f>
        <v>#REF!</v>
      </c>
      <c r="AX142" s="133" t="str">
        <f>VLOOKUP(A142,'Lowe''s final SKU list'!$C$2:$Q$99,2,FALSE)</f>
        <v>YES</v>
      </c>
      <c r="AY142" s="135" t="str">
        <f>VLOOKUP(A142,'Main Data File'!$C$4:$U$146,16,FALSE)</f>
        <v>x</v>
      </c>
      <c r="AZ142" s="135">
        <f>VLOOKUP(A142,'Main Data File'!$C$4:$U$146,13,FALSE)</f>
        <v>0</v>
      </c>
      <c r="BA142" s="135">
        <f>VLOOKUP(A142,'Main Data File'!$C$4:$U$146,14,FALSE)</f>
        <v>0</v>
      </c>
      <c r="BB142" s="135">
        <f>VLOOKUP(A142,'Main Data File'!$C$4:$U$146,15,FALSE)</f>
        <v>0</v>
      </c>
    </row>
    <row r="143" spans="1:54" ht="54" customHeight="1">
      <c r="A143" s="16" t="s">
        <v>198</v>
      </c>
      <c r="B143" s="16" t="str">
        <f>VLOOKUP(A143,'Main Data File'!$C$4:$U$146,19,FALSE)</f>
        <v>Mike</v>
      </c>
      <c r="C143" s="16"/>
      <c r="D143" s="16"/>
      <c r="E143" s="129"/>
      <c r="F143" s="129" t="s">
        <v>735</v>
      </c>
      <c r="G143" s="130" t="str">
        <f>VLOOKUP(A143,'Main Data File'!$C$4:$U$146,17,FALSE)</f>
        <v>13500</v>
      </c>
      <c r="H143" s="129"/>
      <c r="I143" s="12" t="str">
        <f>VLOOKUP(A143,'Main Data File'!$C$4:$U$146,2,FALSE)</f>
        <v>Magnetic Cabinet Catch</v>
      </c>
      <c r="J143" s="12" t="str">
        <f>VLOOKUP(A143,'Main Data File'!$C$4:$U$146,18,FALSE)</f>
        <v>Use back of World and Main card</v>
      </c>
      <c r="K143" s="129" t="s">
        <v>71</v>
      </c>
      <c r="L143" s="129"/>
      <c r="M143" s="129"/>
      <c r="N143" s="129"/>
      <c r="O143" s="129">
        <f>VLOOKUP(A143,'Main Data File'!$C$4:$U$146,3,FALSE)</f>
        <v>5.7</v>
      </c>
      <c r="P143" s="129">
        <f>VLOOKUP(A143,'Main Data File'!$C$4:$U$146,5,FALSE)</f>
        <v>0.75</v>
      </c>
      <c r="Q143" s="129">
        <f>VLOOKUP(A143,'Main Data File'!$C$4:$U$146,4,FALSE)</f>
        <v>3.65</v>
      </c>
      <c r="R143" s="129">
        <f>VLOOKUP(A143,'Main Data File'!$C$4:$U$146,6,FALSE)</f>
        <v>7.0000000000000007E-2</v>
      </c>
      <c r="S143" s="131">
        <f>VLOOKUP(A143,'Main Data File'!$C$4:$U$146,7,FALSE)</f>
        <v>9.0299479166666662E-3</v>
      </c>
      <c r="T143" s="129" t="str">
        <f>VLOOKUP(A143,'Main Data File'!$C$4:$U$146,8,FALSE)</f>
        <v>Heat Formed Plastic</v>
      </c>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0"/>
      <c r="AQ143" s="132">
        <f>VLOOKUP(A143,'Main Data File'!$C$4:$U$146,10,FALSE)</f>
        <v>340.00000000000006</v>
      </c>
      <c r="AR143" s="133" t="e">
        <f>VLOOKUP(A143,#REF!,44,FALSE)</f>
        <v>#REF!</v>
      </c>
      <c r="AS143" s="133" t="e">
        <f>VLOOKUP(A143,#REF!,24,FALSE)</f>
        <v>#REF!</v>
      </c>
      <c r="AT143" s="129"/>
      <c r="AU143" s="134" t="e">
        <f t="shared" si="2"/>
        <v>#REF!</v>
      </c>
      <c r="AV143" s="139"/>
      <c r="AW143" s="133" t="e">
        <f>VLOOKUP(A143,#REF!,25,FALSE)</f>
        <v>#REF!</v>
      </c>
      <c r="AX143" s="133" t="str">
        <f>VLOOKUP(A143,'Lowe''s final SKU list'!$C$2:$Q$99,2,FALSE)</f>
        <v>YES</v>
      </c>
      <c r="AY143" s="135" t="str">
        <f>VLOOKUP(A143,'Main Data File'!$C$4:$U$146,16,FALSE)</f>
        <v>x</v>
      </c>
      <c r="AZ143" s="135">
        <f>VLOOKUP(A143,'Main Data File'!$C$4:$U$146,13,FALSE)</f>
        <v>0</v>
      </c>
      <c r="BA143" s="135">
        <f>VLOOKUP(A143,'Main Data File'!$C$4:$U$146,14,FALSE)</f>
        <v>0</v>
      </c>
      <c r="BB143" s="135">
        <f>VLOOKUP(A143,'Main Data File'!$C$4:$U$146,15,FALSE)</f>
        <v>0</v>
      </c>
    </row>
    <row r="144" spans="1:54" ht="54" customHeight="1">
      <c r="A144" s="16" t="s">
        <v>200</v>
      </c>
      <c r="B144" s="16" t="str">
        <f>VLOOKUP(A144,'Main Data File'!$C$4:$U$146,19,FALSE)</f>
        <v>Mike</v>
      </c>
      <c r="C144" s="16"/>
      <c r="D144" s="16"/>
      <c r="E144" s="129"/>
      <c r="F144" s="129" t="e">
        <v>#N/A</v>
      </c>
      <c r="G144" s="130">
        <f>VLOOKUP(A144,'Main Data File'!$C$4:$U$146,17,FALSE)</f>
        <v>0</v>
      </c>
      <c r="H144" s="129"/>
      <c r="I144" s="12" t="str">
        <f>VLOOKUP(A144,'Main Data File'!$C$4:$U$146,2,FALSE)</f>
        <v>Clear Rosette 6/card W/Screws</v>
      </c>
      <c r="J144" s="12" t="str">
        <f>VLOOKUP(A144,'Main Data File'!$C$4:$U$146,18,FALSE)</f>
        <v>Use the same as RVP024</v>
      </c>
      <c r="K144" s="129" t="s">
        <v>71</v>
      </c>
      <c r="L144" s="129"/>
      <c r="M144" s="129"/>
      <c r="N144" s="129"/>
      <c r="O144" s="129">
        <f>VLOOKUP(A144,'Main Data File'!$C$4:$U$146,3,FALSE)</f>
        <v>5.7</v>
      </c>
      <c r="P144" s="129">
        <f>VLOOKUP(A144,'Main Data File'!$C$4:$U$146,5,FALSE)</f>
        <v>0.3</v>
      </c>
      <c r="Q144" s="129">
        <f>VLOOKUP(A144,'Main Data File'!$C$4:$U$146,4,FALSE)</f>
        <v>3.65</v>
      </c>
      <c r="R144" s="129">
        <f>VLOOKUP(A144,'Main Data File'!$C$4:$U$146,6,FALSE)</f>
        <v>1</v>
      </c>
      <c r="S144" s="131">
        <f>VLOOKUP(A144,'Main Data File'!$C$4:$U$146,7,FALSE)</f>
        <v>3.6119791666666661E-3</v>
      </c>
      <c r="T144" s="129" t="str">
        <f>VLOOKUP(A144,'Main Data File'!$C$4:$U$146,8,FALSE)</f>
        <v>Heat Formed Plastic</v>
      </c>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0"/>
      <c r="AQ144" s="132">
        <f>VLOOKUP(A144,'Main Data File'!$C$4:$U$146,10,FALSE)</f>
        <v>1960</v>
      </c>
      <c r="AR144" s="133" t="e">
        <f>VLOOKUP(A144,#REF!,44,FALSE)</f>
        <v>#REF!</v>
      </c>
      <c r="AS144" s="133" t="e">
        <f>VLOOKUP(A144,#REF!,24,FALSE)</f>
        <v>#REF!</v>
      </c>
      <c r="AT144" s="129"/>
      <c r="AU144" s="134" t="e">
        <f t="shared" si="2"/>
        <v>#REF!</v>
      </c>
      <c r="AV144" s="139"/>
      <c r="AW144" s="133" t="e">
        <f>VLOOKUP(A144,#REF!,25,FALSE)</f>
        <v>#REF!</v>
      </c>
      <c r="AX144" s="133" t="str">
        <f>VLOOKUP(A144,'Lowe''s final SKU list'!$C$2:$Q$99,2,FALSE)</f>
        <v>YES</v>
      </c>
      <c r="AY144" s="135" t="str">
        <f>VLOOKUP(A144,'Main Data File'!$C$4:$U$146,16,FALSE)</f>
        <v>x</v>
      </c>
      <c r="AZ144" s="135">
        <f>VLOOKUP(A144,'Main Data File'!$C$4:$U$146,13,FALSE)</f>
        <v>0</v>
      </c>
      <c r="BA144" s="135" t="str">
        <f>VLOOKUP(A144,'Main Data File'!$C$4:$U$146,14,FALSE)</f>
        <v>x</v>
      </c>
      <c r="BB144" s="135" t="str">
        <f>VLOOKUP(A144,'Main Data File'!$C$4:$U$146,15,FALSE)</f>
        <v>x</v>
      </c>
    </row>
    <row r="145" spans="1:54" ht="54" hidden="1" customHeight="1">
      <c r="A145" s="16" t="s">
        <v>531</v>
      </c>
      <c r="B145" s="16" t="e">
        <f>VLOOKUP(A145,'Main Data File'!$C$4:$U$146,19,FALSE)</f>
        <v>#N/A</v>
      </c>
      <c r="C145" s="16"/>
      <c r="D145" s="16"/>
      <c r="E145" s="129"/>
      <c r="F145" s="129" t="e">
        <v>#N/A</v>
      </c>
      <c r="G145" s="130">
        <f>VLOOKUP(A145,'Main Data File'!$C$4:$U$146,17,FALSE)</f>
        <v>0</v>
      </c>
      <c r="H145" s="129"/>
      <c r="I145" s="12" t="str">
        <f>VLOOKUP(A145,'Main Data File'!$C$4:$U$146,2,FALSE)</f>
        <v>Telescopic SUV and Camper Brush &amp; Squeegee</v>
      </c>
      <c r="J145" s="12" t="e">
        <f>VLOOKUP(A145,'Main Data File'!$C$4:$U$146,18,FALSE)</f>
        <v>#N/A</v>
      </c>
      <c r="K145" s="129" t="s">
        <v>71</v>
      </c>
      <c r="L145" s="129"/>
      <c r="M145" s="129"/>
      <c r="N145" s="129"/>
      <c r="O145" s="129">
        <f>VLOOKUP(A145,'Main Data File'!$C$4:$U$146,3,FALSE)</f>
        <v>28</v>
      </c>
      <c r="P145" s="129">
        <f>VLOOKUP(A145,'Main Data File'!$C$4:$U$146,5,FALSE)</f>
        <v>2</v>
      </c>
      <c r="Q145" s="129">
        <f>VLOOKUP(A145,'Main Data File'!$C$4:$U$146,4,FALSE)</f>
        <v>5</v>
      </c>
      <c r="R145" s="129">
        <f>VLOOKUP(A145,'Main Data File'!$C$4:$U$146,6,FALSE)</f>
        <v>0.95</v>
      </c>
      <c r="S145" s="131">
        <f>VLOOKUP(A145,'Main Data File'!$C$4:$U$146,7,FALSE)</f>
        <v>0.16203703703703703</v>
      </c>
      <c r="T145" s="129" t="str">
        <f>VLOOKUP(A145,'Main Data File'!$C$4:$U$146,8,FALSE)</f>
        <v>Other</v>
      </c>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0"/>
      <c r="AQ145" s="132">
        <f>VLOOKUP(A145,'Main Data File'!$C$4:$U$146,10,FALSE)</f>
        <v>408</v>
      </c>
      <c r="AR145" s="133" t="e">
        <f>VLOOKUP(A145,#REF!,44,FALSE)</f>
        <v>#REF!</v>
      </c>
      <c r="AS145" s="133" t="e">
        <f>VLOOKUP(A145,#REF!,24,FALSE)</f>
        <v>#REF!</v>
      </c>
      <c r="AT145" s="129"/>
      <c r="AU145" s="134" t="e">
        <f t="shared" si="2"/>
        <v>#REF!</v>
      </c>
      <c r="AV145" s="139"/>
      <c r="AW145" s="133" t="e">
        <f>VLOOKUP(A145,#REF!,25,FALSE)</f>
        <v>#REF!</v>
      </c>
      <c r="AX145" s="133" t="e">
        <f>VLOOKUP(A145,'Lowe''s final SKU list'!$C$2:$Q$99,2,FALSE)</f>
        <v>#N/A</v>
      </c>
      <c r="AY145" s="135">
        <f>VLOOKUP(A145,'Main Data File'!$C$4:$U$146,16,FALSE)</f>
        <v>0</v>
      </c>
      <c r="AZ145" s="135">
        <f>VLOOKUP(A145,'Main Data File'!$C$4:$U$146,13,FALSE)</f>
        <v>0</v>
      </c>
      <c r="BA145" s="135">
        <f>VLOOKUP(A145,'Main Data File'!$C$4:$U$146,14,FALSE)</f>
        <v>0</v>
      </c>
      <c r="BB145" s="135">
        <f>VLOOKUP(A145,'Main Data File'!$C$4:$U$146,15,FALSE)</f>
        <v>0</v>
      </c>
    </row>
    <row r="146" spans="1:54" ht="54" hidden="1" customHeight="1">
      <c r="A146" s="16" t="s">
        <v>528</v>
      </c>
      <c r="B146" s="16" t="e">
        <f>VLOOKUP(A146,'Main Data File'!$C$4:$U$146,19,FALSE)</f>
        <v>#N/A</v>
      </c>
      <c r="C146" s="16"/>
      <c r="D146" s="16"/>
      <c r="E146" s="129"/>
      <c r="F146" s="129" t="e">
        <v>#N/A</v>
      </c>
      <c r="G146" s="130">
        <f>VLOOKUP(A146,'Main Data File'!$C$4:$U$146,17,FALSE)</f>
        <v>0</v>
      </c>
      <c r="H146" s="129"/>
      <c r="I146" s="12" t="str">
        <f>VLOOKUP(A146,'Main Data File'!$C$4:$U$146,2,FALSE)</f>
        <v>Heavy Duty Telescopic SUV and Camper Brush &amp; Squeegee</v>
      </c>
      <c r="J146" s="12" t="e">
        <f>VLOOKUP(A146,'Main Data File'!$C$4:$U$146,18,FALSE)</f>
        <v>#N/A</v>
      </c>
      <c r="K146" s="129" t="s">
        <v>71</v>
      </c>
      <c r="L146" s="129"/>
      <c r="M146" s="129"/>
      <c r="N146" s="129"/>
      <c r="O146" s="129">
        <f>VLOOKUP(A146,'Main Data File'!$C$4:$U$146,3,FALSE)</f>
        <v>38.25</v>
      </c>
      <c r="P146" s="129">
        <f>VLOOKUP(A146,'Main Data File'!$C$4:$U$146,5,FALSE)</f>
        <v>3</v>
      </c>
      <c r="Q146" s="129">
        <f>VLOOKUP(A146,'Main Data File'!$C$4:$U$146,4,FALSE)</f>
        <v>4</v>
      </c>
      <c r="R146" s="129">
        <f>VLOOKUP(A146,'Main Data File'!$C$4:$U$146,6,FALSE)</f>
        <v>1.4</v>
      </c>
      <c r="S146" s="131">
        <f>VLOOKUP(A146,'Main Data File'!$C$4:$U$146,7,FALSE)</f>
        <v>0.265625</v>
      </c>
      <c r="T146" s="129" t="str">
        <f>VLOOKUP(A146,'Main Data File'!$C$4:$U$146,8,FALSE)</f>
        <v>Other</v>
      </c>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0"/>
      <c r="AQ146" s="132">
        <f>VLOOKUP(A146,'Main Data File'!$C$4:$U$146,10,FALSE)</f>
        <v>9594</v>
      </c>
      <c r="AR146" s="133" t="e">
        <f>VLOOKUP(A146,#REF!,44,FALSE)</f>
        <v>#REF!</v>
      </c>
      <c r="AS146" s="133" t="e">
        <f>VLOOKUP(A146,#REF!,24,FALSE)</f>
        <v>#REF!</v>
      </c>
      <c r="AT146" s="129"/>
      <c r="AU146" s="134" t="e">
        <f t="shared" si="2"/>
        <v>#REF!</v>
      </c>
      <c r="AV146" s="139"/>
      <c r="AW146" s="133" t="e">
        <f>VLOOKUP(A146,#REF!,25,FALSE)</f>
        <v>#REF!</v>
      </c>
      <c r="AX146" s="133" t="e">
        <f>VLOOKUP(A146,'Lowe''s final SKU list'!$C$2:$Q$99,2,FALSE)</f>
        <v>#N/A</v>
      </c>
      <c r="AY146" s="135">
        <f>VLOOKUP(A146,'Main Data File'!$C$4:$U$146,16,FALSE)</f>
        <v>0</v>
      </c>
      <c r="AZ146" s="135">
        <f>VLOOKUP(A146,'Main Data File'!$C$4:$U$146,13,FALSE)</f>
        <v>0</v>
      </c>
      <c r="BA146" s="135">
        <f>VLOOKUP(A146,'Main Data File'!$C$4:$U$146,14,FALSE)</f>
        <v>0</v>
      </c>
      <c r="BB146" s="135">
        <f>VLOOKUP(A146,'Main Data File'!$C$4:$U$146,15,FALSE)</f>
        <v>0</v>
      </c>
    </row>
    <row r="147" spans="1:54" ht="15"/>
  </sheetData>
  <autoFilter ref="A3:BB146">
    <filterColumn colId="49">
      <filters>
        <filter val="YES"/>
      </filters>
    </filterColumn>
    <sortState ref="A4:BB146">
      <sortCondition ref="A3:A146"/>
    </sortState>
  </autoFilter>
  <dataValidations count="1">
    <dataValidation type="list" allowBlank="1" showInputMessage="1" showErrorMessage="1" sqref="U4:U146">
      <formula1>#REF!</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9" tint="0.39997558519241921"/>
  </sheetPr>
  <dimension ref="A1:X146"/>
  <sheetViews>
    <sheetView workbookViewId="0">
      <pane xSplit="2" ySplit="3" topLeftCell="C115" activePane="bottomRight" state="frozen"/>
      <selection pane="topRight" activeCell="D1" sqref="D1"/>
      <selection pane="bottomLeft" activeCell="A4" sqref="A4"/>
      <selection pane="bottomRight" activeCell="D35" sqref="D35"/>
    </sheetView>
  </sheetViews>
  <sheetFormatPr baseColWidth="10" defaultColWidth="8.83203125" defaultRowHeight="12" x14ac:dyDescent="0"/>
  <cols>
    <col min="1" max="1" width="18" style="25" customWidth="1"/>
    <col min="2" max="2" width="10.1640625" style="24" hidden="1" customWidth="1"/>
    <col min="3" max="3" width="8.33203125" style="26" customWidth="1"/>
    <col min="4" max="4" width="46.6640625" style="25" customWidth="1"/>
    <col min="5" max="8" width="11.1640625" style="26" customWidth="1"/>
    <col min="9" max="9" width="11.1640625" style="27" customWidth="1"/>
    <col min="10" max="10" width="19" style="27" customWidth="1"/>
    <col min="11" max="11" width="9" style="28" customWidth="1"/>
    <col min="12" max="12" width="10.5" style="25" customWidth="1"/>
    <col min="13" max="13" width="7.6640625" style="25" customWidth="1"/>
    <col min="14" max="14" width="11.6640625" style="25" customWidth="1"/>
    <col min="15" max="16" width="8" style="25" customWidth="1"/>
    <col min="17" max="17" width="10.83203125" style="25" customWidth="1"/>
    <col min="18" max="19" width="10.1640625" style="25" customWidth="1"/>
    <col min="20" max="20" width="36.6640625" style="115" bestFit="1" customWidth="1"/>
    <col min="21" max="22" width="10.1640625" style="25" customWidth="1"/>
    <col min="23" max="23" width="2.83203125" style="25" customWidth="1"/>
    <col min="24" max="24" width="17.83203125" style="25" customWidth="1"/>
    <col min="25" max="16384" width="8.83203125" style="25"/>
  </cols>
  <sheetData>
    <row r="1" spans="1:24" ht="20">
      <c r="A1" s="23"/>
    </row>
    <row r="2" spans="1:24" ht="15" customHeight="1">
      <c r="L2" s="29" t="s">
        <v>547</v>
      </c>
      <c r="M2" s="29"/>
      <c r="N2" s="29"/>
    </row>
    <row r="3" spans="1:24" s="37" customFormat="1" ht="62.25" customHeight="1">
      <c r="A3" s="30" t="s">
        <v>548</v>
      </c>
      <c r="B3" s="30" t="s">
        <v>549</v>
      </c>
      <c r="C3" s="31" t="s">
        <v>550</v>
      </c>
      <c r="D3" s="30" t="s">
        <v>551</v>
      </c>
      <c r="E3" s="31" t="s">
        <v>552</v>
      </c>
      <c r="F3" s="31" t="s">
        <v>553</v>
      </c>
      <c r="G3" s="31" t="s">
        <v>554</v>
      </c>
      <c r="H3" s="31" t="s">
        <v>555</v>
      </c>
      <c r="I3" s="32" t="s">
        <v>556</v>
      </c>
      <c r="J3" s="32" t="s">
        <v>557</v>
      </c>
      <c r="K3" s="33" t="s">
        <v>558</v>
      </c>
      <c r="L3" s="34" t="s">
        <v>559</v>
      </c>
      <c r="M3" s="35" t="s">
        <v>560</v>
      </c>
      <c r="N3" s="35" t="s">
        <v>561</v>
      </c>
      <c r="O3" s="30" t="s">
        <v>66</v>
      </c>
      <c r="P3" s="30" t="s">
        <v>67</v>
      </c>
      <c r="Q3" s="30" t="s">
        <v>68</v>
      </c>
      <c r="R3" s="30" t="s">
        <v>562</v>
      </c>
      <c r="S3" s="112" t="s">
        <v>563</v>
      </c>
      <c r="T3" s="112" t="s">
        <v>13</v>
      </c>
      <c r="U3" s="112" t="s">
        <v>1</v>
      </c>
      <c r="V3" s="112"/>
      <c r="W3" s="36"/>
    </row>
    <row r="4" spans="1:24" ht="15" customHeight="1">
      <c r="A4" s="38" t="s">
        <v>564</v>
      </c>
      <c r="B4" s="39">
        <v>120</v>
      </c>
      <c r="C4" s="40" t="s">
        <v>128</v>
      </c>
      <c r="D4" s="38" t="s">
        <v>337</v>
      </c>
      <c r="E4" s="40">
        <v>12</v>
      </c>
      <c r="F4" s="40">
        <v>11.5</v>
      </c>
      <c r="G4" s="40">
        <v>2.5</v>
      </c>
      <c r="H4" s="40">
        <v>1.76</v>
      </c>
      <c r="I4" s="41">
        <v>0.19965277777777779</v>
      </c>
      <c r="J4" s="42" t="s">
        <v>565</v>
      </c>
      <c r="K4" s="256">
        <v>1599</v>
      </c>
      <c r="L4" s="43">
        <v>44772</v>
      </c>
      <c r="M4" s="44">
        <v>861</v>
      </c>
      <c r="N4" s="45">
        <v>0.53846153846153844</v>
      </c>
      <c r="O4" s="46" t="s">
        <v>335</v>
      </c>
      <c r="P4" s="46"/>
      <c r="Q4" s="46" t="s">
        <v>335</v>
      </c>
      <c r="R4" s="46" t="s">
        <v>335</v>
      </c>
      <c r="S4" s="113" t="s">
        <v>336</v>
      </c>
      <c r="T4" s="116" t="s">
        <v>566</v>
      </c>
      <c r="U4" s="113" t="s">
        <v>0</v>
      </c>
      <c r="V4" s="113"/>
      <c r="X4" s="47" t="s">
        <v>567</v>
      </c>
    </row>
    <row r="5" spans="1:24" ht="15" customHeight="1">
      <c r="A5" s="38" t="s">
        <v>564</v>
      </c>
      <c r="B5" s="39">
        <v>97</v>
      </c>
      <c r="C5" s="40" t="s">
        <v>153</v>
      </c>
      <c r="D5" s="38" t="s">
        <v>400</v>
      </c>
      <c r="E5" s="40">
        <v>3.5</v>
      </c>
      <c r="F5" s="40">
        <v>3.5</v>
      </c>
      <c r="G5" s="40">
        <v>11</v>
      </c>
      <c r="H5" s="40">
        <v>8</v>
      </c>
      <c r="I5" s="41">
        <v>7.798032407407407E-2</v>
      </c>
      <c r="J5" s="42" t="s">
        <v>568</v>
      </c>
      <c r="K5" s="256">
        <v>1599</v>
      </c>
      <c r="L5" s="43">
        <v>7995</v>
      </c>
      <c r="M5" s="44">
        <v>153.75</v>
      </c>
      <c r="N5" s="45">
        <v>9.6153846153846159E-2</v>
      </c>
      <c r="O5" s="46" t="s">
        <v>335</v>
      </c>
      <c r="P5" s="46"/>
      <c r="Q5" s="46" t="s">
        <v>335</v>
      </c>
      <c r="R5" s="46" t="s">
        <v>335</v>
      </c>
      <c r="S5" s="113" t="s">
        <v>399</v>
      </c>
      <c r="T5" s="116" t="s">
        <v>566</v>
      </c>
      <c r="U5" s="113" t="s">
        <v>70</v>
      </c>
      <c r="V5" s="113"/>
      <c r="X5" s="48" t="s">
        <v>569</v>
      </c>
    </row>
    <row r="6" spans="1:24" ht="15" customHeight="1">
      <c r="A6" s="38" t="s">
        <v>564</v>
      </c>
      <c r="B6" s="39">
        <v>121</v>
      </c>
      <c r="C6" s="40" t="s">
        <v>131</v>
      </c>
      <c r="D6" s="38" t="s">
        <v>343</v>
      </c>
      <c r="E6" s="40">
        <v>12</v>
      </c>
      <c r="F6" s="40">
        <v>11.5</v>
      </c>
      <c r="G6" s="40">
        <v>3.5</v>
      </c>
      <c r="H6" s="40">
        <v>1.91</v>
      </c>
      <c r="I6" s="41">
        <v>0.2795138888888889</v>
      </c>
      <c r="J6" s="42" t="s">
        <v>565</v>
      </c>
      <c r="K6" s="256">
        <v>1599</v>
      </c>
      <c r="L6" s="43">
        <v>22386</v>
      </c>
      <c r="M6" s="44">
        <v>430.5</v>
      </c>
      <c r="N6" s="45">
        <v>0.26923076923076922</v>
      </c>
      <c r="O6" s="46" t="s">
        <v>335</v>
      </c>
      <c r="P6" s="46"/>
      <c r="Q6" s="46" t="s">
        <v>335</v>
      </c>
      <c r="R6" s="46" t="s">
        <v>335</v>
      </c>
      <c r="S6" s="113" t="s">
        <v>342</v>
      </c>
      <c r="T6" s="116" t="s">
        <v>566</v>
      </c>
      <c r="U6" s="113" t="s">
        <v>0</v>
      </c>
      <c r="V6" s="113"/>
    </row>
    <row r="7" spans="1:24" ht="15" customHeight="1">
      <c r="A7" s="38" t="s">
        <v>564</v>
      </c>
      <c r="B7" s="39">
        <v>107</v>
      </c>
      <c r="C7" s="40" t="s">
        <v>190</v>
      </c>
      <c r="D7" s="38" t="s">
        <v>515</v>
      </c>
      <c r="E7" s="40">
        <v>6</v>
      </c>
      <c r="F7" s="40">
        <v>12</v>
      </c>
      <c r="G7" s="40">
        <v>12</v>
      </c>
      <c r="H7" s="40" t="s">
        <v>327</v>
      </c>
      <c r="I7" s="41" t="s">
        <v>327</v>
      </c>
      <c r="J7" s="42" t="s">
        <v>568</v>
      </c>
      <c r="K7" s="256">
        <v>1599</v>
      </c>
      <c r="L7" s="43">
        <v>19188</v>
      </c>
      <c r="M7" s="44">
        <v>369</v>
      </c>
      <c r="N7" s="45">
        <v>0.23076923076923078</v>
      </c>
      <c r="O7" s="46" t="s">
        <v>335</v>
      </c>
      <c r="P7" s="46"/>
      <c r="Q7" s="46" t="s">
        <v>335</v>
      </c>
      <c r="R7" s="46" t="s">
        <v>335</v>
      </c>
      <c r="S7" s="113"/>
      <c r="T7" s="116" t="s">
        <v>570</v>
      </c>
      <c r="U7" s="113" t="s">
        <v>0</v>
      </c>
      <c r="V7" s="113"/>
    </row>
    <row r="8" spans="1:24" ht="15" customHeight="1">
      <c r="A8" s="38" t="s">
        <v>564</v>
      </c>
      <c r="B8" s="39">
        <v>87</v>
      </c>
      <c r="C8" s="40" t="s">
        <v>175</v>
      </c>
      <c r="D8" s="38" t="s">
        <v>571</v>
      </c>
      <c r="E8" s="40">
        <v>25.25</v>
      </c>
      <c r="F8" s="40">
        <v>5</v>
      </c>
      <c r="G8" s="40">
        <v>3</v>
      </c>
      <c r="H8" s="40">
        <v>4</v>
      </c>
      <c r="I8" s="41">
        <v>0.21918402777777779</v>
      </c>
      <c r="J8" s="42" t="s">
        <v>572</v>
      </c>
      <c r="K8" s="256">
        <v>1599</v>
      </c>
      <c r="L8" s="43">
        <v>19188</v>
      </c>
      <c r="M8" s="44">
        <v>369</v>
      </c>
      <c r="N8" s="45">
        <v>0.23076923076923078</v>
      </c>
      <c r="O8" s="46" t="s">
        <v>335</v>
      </c>
      <c r="P8" s="46"/>
      <c r="Q8" s="46" t="s">
        <v>335</v>
      </c>
      <c r="R8" s="46" t="s">
        <v>335</v>
      </c>
      <c r="S8" s="113" t="s">
        <v>489</v>
      </c>
      <c r="T8" s="116" t="s">
        <v>573</v>
      </c>
      <c r="U8" s="113" t="s">
        <v>0</v>
      </c>
      <c r="V8" s="113"/>
    </row>
    <row r="9" spans="1:24" ht="15" customHeight="1">
      <c r="A9" s="38" t="s">
        <v>564</v>
      </c>
      <c r="B9" s="39">
        <v>81</v>
      </c>
      <c r="C9" s="40" t="s">
        <v>192</v>
      </c>
      <c r="D9" s="38" t="s">
        <v>520</v>
      </c>
      <c r="E9" s="40">
        <v>8.5</v>
      </c>
      <c r="F9" s="40">
        <v>8.5</v>
      </c>
      <c r="G9" s="40">
        <v>4.25</v>
      </c>
      <c r="H9" s="40">
        <v>3</v>
      </c>
      <c r="I9" s="41">
        <v>0.17769820601851852</v>
      </c>
      <c r="J9" s="38" t="s">
        <v>565</v>
      </c>
      <c r="K9" s="256">
        <v>1503</v>
      </c>
      <c r="L9" s="43">
        <v>7515</v>
      </c>
      <c r="M9" s="44">
        <v>144.51923076923077</v>
      </c>
      <c r="N9" s="45">
        <v>9.6153846153846159E-2</v>
      </c>
      <c r="O9" s="46" t="s">
        <v>335</v>
      </c>
      <c r="P9" s="46"/>
      <c r="Q9" s="46"/>
      <c r="R9" s="46" t="s">
        <v>335</v>
      </c>
      <c r="S9" s="113"/>
      <c r="T9" s="116" t="s">
        <v>574</v>
      </c>
      <c r="U9" s="113" t="s">
        <v>92</v>
      </c>
      <c r="V9" s="113"/>
    </row>
    <row r="10" spans="1:24" ht="15" customHeight="1">
      <c r="A10" s="38" t="s">
        <v>564</v>
      </c>
      <c r="B10" s="39">
        <v>132</v>
      </c>
      <c r="C10" s="40" t="s">
        <v>165</v>
      </c>
      <c r="D10" s="38" t="s">
        <v>442</v>
      </c>
      <c r="E10" s="40">
        <v>10</v>
      </c>
      <c r="F10" s="40">
        <v>14.5</v>
      </c>
      <c r="G10" s="40">
        <v>3.5</v>
      </c>
      <c r="H10" s="40">
        <v>1.3</v>
      </c>
      <c r="I10" s="41">
        <v>0.29369212962962965</v>
      </c>
      <c r="J10" s="42" t="s">
        <v>565</v>
      </c>
      <c r="K10" s="256">
        <v>1715</v>
      </c>
      <c r="L10" s="43">
        <v>17150</v>
      </c>
      <c r="M10" s="44">
        <v>329.80769230769232</v>
      </c>
      <c r="N10" s="45">
        <v>0.19230769230769232</v>
      </c>
      <c r="O10" s="46" t="s">
        <v>335</v>
      </c>
      <c r="P10" s="46" t="s">
        <v>335</v>
      </c>
      <c r="Q10" s="46" t="s">
        <v>335</v>
      </c>
      <c r="R10" s="46" t="s">
        <v>335</v>
      </c>
      <c r="S10" s="113">
        <v>1551010</v>
      </c>
      <c r="T10" s="116" t="s">
        <v>575</v>
      </c>
      <c r="U10" s="113" t="s">
        <v>0</v>
      </c>
      <c r="V10" s="113"/>
    </row>
    <row r="11" spans="1:24" ht="15" customHeight="1">
      <c r="A11" s="38" t="s">
        <v>564</v>
      </c>
      <c r="B11" s="39">
        <v>131</v>
      </c>
      <c r="C11" s="40" t="s">
        <v>443</v>
      </c>
      <c r="D11" s="38" t="s">
        <v>441</v>
      </c>
      <c r="E11" s="40">
        <v>10</v>
      </c>
      <c r="F11" s="40">
        <v>14.5</v>
      </c>
      <c r="G11" s="40">
        <v>3.5</v>
      </c>
      <c r="H11" s="40">
        <v>2.2999999999999998</v>
      </c>
      <c r="I11" s="41">
        <v>0.29369212962962965</v>
      </c>
      <c r="J11" s="42" t="s">
        <v>565</v>
      </c>
      <c r="K11" s="256">
        <v>1715</v>
      </c>
      <c r="L11" s="43">
        <v>10290</v>
      </c>
      <c r="M11" s="44">
        <v>197.88461538461539</v>
      </c>
      <c r="N11" s="45">
        <v>0.11538461538461539</v>
      </c>
      <c r="O11" s="46" t="s">
        <v>335</v>
      </c>
      <c r="P11" s="46" t="s">
        <v>335</v>
      </c>
      <c r="Q11" s="46" t="s">
        <v>335</v>
      </c>
      <c r="R11" s="46" t="s">
        <v>335</v>
      </c>
      <c r="S11" s="113">
        <v>1551015</v>
      </c>
      <c r="T11" s="116" t="s">
        <v>575</v>
      </c>
      <c r="U11" s="113" t="s">
        <v>0</v>
      </c>
      <c r="V11" s="113"/>
    </row>
    <row r="12" spans="1:24" ht="15" customHeight="1">
      <c r="A12" s="38" t="s">
        <v>564</v>
      </c>
      <c r="B12" s="39">
        <v>130</v>
      </c>
      <c r="C12" s="40" t="s">
        <v>166</v>
      </c>
      <c r="D12" s="38" t="s">
        <v>444</v>
      </c>
      <c r="E12" s="40">
        <v>8.1300000000000008</v>
      </c>
      <c r="F12" s="40">
        <v>9</v>
      </c>
      <c r="G12" s="40">
        <v>3.5</v>
      </c>
      <c r="H12" s="40">
        <v>0.89</v>
      </c>
      <c r="I12" s="41">
        <v>0.14820312500000002</v>
      </c>
      <c r="J12" s="42" t="s">
        <v>565</v>
      </c>
      <c r="K12" s="256">
        <v>1715</v>
      </c>
      <c r="L12" s="43">
        <v>17150</v>
      </c>
      <c r="M12" s="44">
        <v>329.80769230769232</v>
      </c>
      <c r="N12" s="45">
        <v>0.19230769230769232</v>
      </c>
      <c r="O12" s="46" t="s">
        <v>335</v>
      </c>
      <c r="P12" s="46" t="s">
        <v>335</v>
      </c>
      <c r="Q12" s="46" t="s">
        <v>335</v>
      </c>
      <c r="R12" s="46" t="s">
        <v>335</v>
      </c>
      <c r="S12" s="113">
        <v>1551110</v>
      </c>
      <c r="T12" s="116" t="s">
        <v>575</v>
      </c>
      <c r="U12" s="113" t="s">
        <v>0</v>
      </c>
      <c r="V12" s="113"/>
    </row>
    <row r="13" spans="1:24" ht="15" customHeight="1">
      <c r="A13" s="38" t="s">
        <v>564</v>
      </c>
      <c r="B13" s="39">
        <v>102</v>
      </c>
      <c r="C13" s="40" t="s">
        <v>150</v>
      </c>
      <c r="D13" s="38" t="s">
        <v>394</v>
      </c>
      <c r="E13" s="40">
        <v>5.7</v>
      </c>
      <c r="F13" s="40">
        <v>3.65</v>
      </c>
      <c r="G13" s="40">
        <v>1.75</v>
      </c>
      <c r="H13" s="40">
        <v>0.46</v>
      </c>
      <c r="I13" s="41">
        <v>2.106987847222222E-2</v>
      </c>
      <c r="J13" s="38" t="s">
        <v>565</v>
      </c>
      <c r="K13" s="256">
        <v>1599</v>
      </c>
      <c r="L13" s="43">
        <v>19188</v>
      </c>
      <c r="M13" s="44">
        <v>369</v>
      </c>
      <c r="N13" s="45">
        <v>0.23076923076923078</v>
      </c>
      <c r="O13" s="46" t="s">
        <v>335</v>
      </c>
      <c r="P13" s="46"/>
      <c r="Q13" s="46" t="s">
        <v>335</v>
      </c>
      <c r="R13" s="46" t="s">
        <v>335</v>
      </c>
      <c r="S13" s="113" t="s">
        <v>393</v>
      </c>
      <c r="T13" s="116" t="s">
        <v>566</v>
      </c>
      <c r="U13" s="113" t="s">
        <v>0</v>
      </c>
      <c r="V13" s="113"/>
    </row>
    <row r="14" spans="1:24" ht="15" customHeight="1">
      <c r="A14" s="38" t="s">
        <v>564</v>
      </c>
      <c r="B14" s="39">
        <v>105</v>
      </c>
      <c r="C14" s="40" t="s">
        <v>151</v>
      </c>
      <c r="D14" s="38" t="s">
        <v>396</v>
      </c>
      <c r="E14" s="40">
        <v>12</v>
      </c>
      <c r="F14" s="40">
        <v>6.25</v>
      </c>
      <c r="G14" s="40">
        <v>2.5</v>
      </c>
      <c r="H14" s="40">
        <v>2</v>
      </c>
      <c r="I14" s="41">
        <v>0.10850694444444445</v>
      </c>
      <c r="J14" s="42" t="s">
        <v>572</v>
      </c>
      <c r="K14" s="256">
        <v>1599</v>
      </c>
      <c r="L14" s="43">
        <v>9594</v>
      </c>
      <c r="M14" s="44">
        <v>184.5</v>
      </c>
      <c r="N14" s="45">
        <v>0.11538461538461539</v>
      </c>
      <c r="O14" s="46" t="s">
        <v>335</v>
      </c>
      <c r="P14" s="46"/>
      <c r="Q14" s="46" t="s">
        <v>335</v>
      </c>
      <c r="R14" s="46" t="s">
        <v>335</v>
      </c>
      <c r="S14" s="113" t="s">
        <v>395</v>
      </c>
      <c r="T14" s="116" t="s">
        <v>566</v>
      </c>
      <c r="U14" s="113" t="s">
        <v>70</v>
      </c>
      <c r="V14" s="113"/>
    </row>
    <row r="15" spans="1:24" ht="15" customHeight="1">
      <c r="A15" s="38" t="s">
        <v>564</v>
      </c>
      <c r="B15" s="39">
        <v>85</v>
      </c>
      <c r="C15" s="40" t="s">
        <v>125</v>
      </c>
      <c r="D15" s="38" t="s">
        <v>324</v>
      </c>
      <c r="E15" s="40">
        <v>6.5</v>
      </c>
      <c r="F15" s="40">
        <v>6.25</v>
      </c>
      <c r="G15" s="40">
        <v>4.5</v>
      </c>
      <c r="H15" s="40">
        <v>1</v>
      </c>
      <c r="I15" s="41">
        <v>0.10579427083333333</v>
      </c>
      <c r="J15" s="42" t="s">
        <v>572</v>
      </c>
      <c r="K15" s="256">
        <v>1503</v>
      </c>
      <c r="L15" s="43">
        <v>7515</v>
      </c>
      <c r="M15" s="44">
        <v>144.51923076923077</v>
      </c>
      <c r="N15" s="45">
        <v>9.6153846153846159E-2</v>
      </c>
      <c r="O15" s="46" t="s">
        <v>335</v>
      </c>
      <c r="P15" s="46"/>
      <c r="Q15" s="46"/>
      <c r="R15" s="46" t="s">
        <v>335</v>
      </c>
      <c r="S15" s="113" t="s">
        <v>323</v>
      </c>
      <c r="T15" s="116" t="s">
        <v>573</v>
      </c>
      <c r="U15" s="113" t="s">
        <v>0</v>
      </c>
      <c r="V15" s="113"/>
    </row>
    <row r="16" spans="1:24" ht="15" customHeight="1">
      <c r="A16" s="50" t="s">
        <v>564</v>
      </c>
      <c r="B16" s="51">
        <v>144</v>
      </c>
      <c r="C16" s="47" t="s">
        <v>425</v>
      </c>
      <c r="D16" s="50" t="s">
        <v>576</v>
      </c>
      <c r="E16" s="47">
        <v>10.5</v>
      </c>
      <c r="F16" s="47">
        <v>4.5</v>
      </c>
      <c r="G16" s="47">
        <v>1</v>
      </c>
      <c r="H16" s="47">
        <v>1.1399999999999999</v>
      </c>
      <c r="I16" s="52">
        <v>2.734375E-2</v>
      </c>
      <c r="J16" s="50" t="s">
        <v>577</v>
      </c>
      <c r="K16" s="257">
        <v>1715</v>
      </c>
      <c r="L16" s="53">
        <v>82320</v>
      </c>
      <c r="M16" s="54">
        <v>1583.0769230769231</v>
      </c>
      <c r="N16" s="55">
        <v>0.92307692307692313</v>
      </c>
      <c r="O16" s="56"/>
      <c r="P16" s="56"/>
      <c r="Q16" s="56"/>
      <c r="R16" s="56"/>
      <c r="S16" s="113" t="s">
        <v>424</v>
      </c>
      <c r="T16" s="116" t="s">
        <v>191</v>
      </c>
      <c r="U16" s="113" t="s">
        <v>0</v>
      </c>
      <c r="V16" s="114"/>
    </row>
    <row r="17" spans="1:22" ht="15" customHeight="1">
      <c r="A17" s="50" t="s">
        <v>564</v>
      </c>
      <c r="B17" s="51">
        <v>142</v>
      </c>
      <c r="C17" s="47" t="s">
        <v>419</v>
      </c>
      <c r="D17" s="50" t="s">
        <v>578</v>
      </c>
      <c r="E17" s="47">
        <v>8.5</v>
      </c>
      <c r="F17" s="47">
        <v>4.5</v>
      </c>
      <c r="G17" s="47">
        <v>1</v>
      </c>
      <c r="H17" s="47">
        <v>1.1000000000000001</v>
      </c>
      <c r="I17" s="52">
        <v>2.2135416666666668E-2</v>
      </c>
      <c r="J17" s="50" t="s">
        <v>577</v>
      </c>
      <c r="K17" s="257">
        <v>1715</v>
      </c>
      <c r="L17" s="53">
        <v>42875</v>
      </c>
      <c r="M17" s="54">
        <v>824.51923076923072</v>
      </c>
      <c r="N17" s="55">
        <v>0.48076923076923073</v>
      </c>
      <c r="O17" s="56"/>
      <c r="P17" s="56"/>
      <c r="Q17" s="56"/>
      <c r="R17" s="56"/>
      <c r="S17" s="113" t="s">
        <v>418</v>
      </c>
      <c r="T17" s="116" t="s">
        <v>191</v>
      </c>
      <c r="U17" s="113" t="s">
        <v>0</v>
      </c>
      <c r="V17" s="114"/>
    </row>
    <row r="18" spans="1:22" ht="15" customHeight="1">
      <c r="A18" s="38" t="s">
        <v>564</v>
      </c>
      <c r="B18" s="39">
        <v>104</v>
      </c>
      <c r="C18" s="49" t="s">
        <v>103</v>
      </c>
      <c r="D18" s="38" t="s">
        <v>266</v>
      </c>
      <c r="E18" s="40">
        <v>11.75</v>
      </c>
      <c r="F18" s="40">
        <v>5.125</v>
      </c>
      <c r="G18" s="40">
        <v>2.75</v>
      </c>
      <c r="H18" s="40">
        <v>0.39</v>
      </c>
      <c r="I18" s="41">
        <v>9.5834237557870364E-2</v>
      </c>
      <c r="J18" s="38" t="s">
        <v>565</v>
      </c>
      <c r="K18" s="256">
        <v>1599</v>
      </c>
      <c r="L18" s="43">
        <v>9594</v>
      </c>
      <c r="M18" s="44">
        <v>184.5</v>
      </c>
      <c r="N18" s="45">
        <v>0.11538461538461539</v>
      </c>
      <c r="O18" s="46" t="s">
        <v>335</v>
      </c>
      <c r="P18" s="46"/>
      <c r="Q18" s="46" t="s">
        <v>335</v>
      </c>
      <c r="R18" s="46" t="s">
        <v>335</v>
      </c>
      <c r="S18" s="113" t="s">
        <v>265</v>
      </c>
      <c r="T18" s="116" t="s">
        <v>579</v>
      </c>
      <c r="U18" s="113" t="s">
        <v>0</v>
      </c>
      <c r="V18" s="113"/>
    </row>
    <row r="19" spans="1:22" ht="15" customHeight="1">
      <c r="A19" s="38" t="s">
        <v>564</v>
      </c>
      <c r="B19" s="39">
        <v>143</v>
      </c>
      <c r="C19" s="40" t="s">
        <v>124</v>
      </c>
      <c r="D19" s="38" t="s">
        <v>580</v>
      </c>
      <c r="E19" s="40">
        <v>13.75</v>
      </c>
      <c r="F19" s="40">
        <v>3.625</v>
      </c>
      <c r="G19" s="40">
        <v>2.5</v>
      </c>
      <c r="H19" s="40">
        <v>0.5</v>
      </c>
      <c r="I19" s="41">
        <v>7.2111906828703706E-2</v>
      </c>
      <c r="J19" s="38" t="s">
        <v>565</v>
      </c>
      <c r="K19" s="256">
        <v>1715</v>
      </c>
      <c r="L19" s="43">
        <v>17150</v>
      </c>
      <c r="M19" s="44">
        <v>329.80769230769232</v>
      </c>
      <c r="N19" s="45">
        <v>0.19230769230769232</v>
      </c>
      <c r="O19" s="46" t="s">
        <v>335</v>
      </c>
      <c r="P19" s="46" t="s">
        <v>335</v>
      </c>
      <c r="Q19" s="46" t="s">
        <v>335</v>
      </c>
      <c r="R19" s="46" t="s">
        <v>335</v>
      </c>
      <c r="S19" s="113" t="s">
        <v>321</v>
      </c>
      <c r="T19" s="116" t="s">
        <v>573</v>
      </c>
      <c r="U19" s="113" t="s">
        <v>0</v>
      </c>
      <c r="V19" s="113"/>
    </row>
    <row r="20" spans="1:22" ht="15" customHeight="1">
      <c r="A20" s="38" t="s">
        <v>564</v>
      </c>
      <c r="B20" s="39">
        <v>129</v>
      </c>
      <c r="C20" s="49" t="s">
        <v>144</v>
      </c>
      <c r="D20" s="38" t="s">
        <v>378</v>
      </c>
      <c r="E20" s="40">
        <v>8.5</v>
      </c>
      <c r="F20" s="40">
        <v>8.5</v>
      </c>
      <c r="G20" s="40">
        <v>2.5</v>
      </c>
      <c r="H20" s="40">
        <v>0.53</v>
      </c>
      <c r="I20" s="41">
        <v>0.10452835648148148</v>
      </c>
      <c r="J20" s="38" t="s">
        <v>565</v>
      </c>
      <c r="K20" s="256">
        <v>1715</v>
      </c>
      <c r="L20" s="43">
        <v>32585</v>
      </c>
      <c r="M20" s="44">
        <v>626.63461538461536</v>
      </c>
      <c r="N20" s="45">
        <v>0.36538461538461536</v>
      </c>
      <c r="O20" s="46" t="s">
        <v>335</v>
      </c>
      <c r="P20" s="46" t="s">
        <v>335</v>
      </c>
      <c r="Q20" s="46" t="s">
        <v>335</v>
      </c>
      <c r="R20" s="46" t="s">
        <v>335</v>
      </c>
      <c r="S20" s="113" t="s">
        <v>377</v>
      </c>
      <c r="T20" s="116" t="s">
        <v>579</v>
      </c>
      <c r="U20" s="113" t="s">
        <v>0</v>
      </c>
      <c r="V20" s="113"/>
    </row>
    <row r="21" spans="1:22" ht="15" customHeight="1">
      <c r="A21" s="38" t="s">
        <v>564</v>
      </c>
      <c r="B21" s="39">
        <v>95</v>
      </c>
      <c r="C21" s="40" t="s">
        <v>155</v>
      </c>
      <c r="D21" s="38" t="s">
        <v>405</v>
      </c>
      <c r="E21" s="40">
        <v>9.5</v>
      </c>
      <c r="F21" s="40">
        <v>5</v>
      </c>
      <c r="G21" s="40">
        <v>2</v>
      </c>
      <c r="H21" s="40">
        <v>0.6</v>
      </c>
      <c r="I21" s="41">
        <v>5.4976851851851853E-2</v>
      </c>
      <c r="J21" s="42" t="s">
        <v>572</v>
      </c>
      <c r="K21" s="256">
        <v>1599</v>
      </c>
      <c r="L21" s="43">
        <v>7995</v>
      </c>
      <c r="M21" s="44">
        <v>153.75</v>
      </c>
      <c r="N21" s="45">
        <v>9.6153846153846159E-2</v>
      </c>
      <c r="O21" s="46" t="s">
        <v>335</v>
      </c>
      <c r="P21" s="46"/>
      <c r="Q21" s="46" t="s">
        <v>335</v>
      </c>
      <c r="R21" s="46" t="s">
        <v>335</v>
      </c>
      <c r="S21" s="113" t="s">
        <v>404</v>
      </c>
      <c r="T21" s="116" t="s">
        <v>566</v>
      </c>
      <c r="U21" s="113" t="s">
        <v>70</v>
      </c>
      <c r="V21" s="113"/>
    </row>
    <row r="22" spans="1:22" ht="15" customHeight="1">
      <c r="A22" s="38" t="s">
        <v>564</v>
      </c>
      <c r="B22" s="39">
        <v>94</v>
      </c>
      <c r="C22" s="40" t="s">
        <v>154</v>
      </c>
      <c r="D22" s="38" t="s">
        <v>403</v>
      </c>
      <c r="E22" s="40">
        <v>9.5</v>
      </c>
      <c r="F22" s="40">
        <v>5</v>
      </c>
      <c r="G22" s="40">
        <v>2</v>
      </c>
      <c r="H22" s="40">
        <v>0.6</v>
      </c>
      <c r="I22" s="41">
        <v>5.4976851851851853E-2</v>
      </c>
      <c r="J22" s="42" t="s">
        <v>572</v>
      </c>
      <c r="K22" s="256">
        <v>1599</v>
      </c>
      <c r="L22" s="43">
        <v>12792</v>
      </c>
      <c r="M22" s="44">
        <v>246</v>
      </c>
      <c r="N22" s="45">
        <v>0.15384615384615385</v>
      </c>
      <c r="O22" s="46" t="s">
        <v>335</v>
      </c>
      <c r="P22" s="46"/>
      <c r="Q22" s="46" t="s">
        <v>335</v>
      </c>
      <c r="R22" s="46" t="s">
        <v>335</v>
      </c>
      <c r="S22" s="113" t="s">
        <v>402</v>
      </c>
      <c r="T22" s="116" t="s">
        <v>566</v>
      </c>
      <c r="U22" s="113" t="s">
        <v>70</v>
      </c>
      <c r="V22" s="113"/>
    </row>
    <row r="23" spans="1:22" ht="15" customHeight="1">
      <c r="A23" s="38" t="s">
        <v>564</v>
      </c>
      <c r="B23" s="39">
        <v>93</v>
      </c>
      <c r="C23" s="49" t="s">
        <v>143</v>
      </c>
      <c r="D23" s="38" t="s">
        <v>375</v>
      </c>
      <c r="E23" s="40">
        <v>8.5</v>
      </c>
      <c r="F23" s="40">
        <v>8.5</v>
      </c>
      <c r="G23" s="40">
        <v>2.5</v>
      </c>
      <c r="H23" s="40">
        <v>0.53</v>
      </c>
      <c r="I23" s="41">
        <v>0.10452835648148148</v>
      </c>
      <c r="J23" s="42" t="s">
        <v>565</v>
      </c>
      <c r="K23" s="256">
        <v>1599</v>
      </c>
      <c r="L23" s="43">
        <v>15990</v>
      </c>
      <c r="M23" s="44">
        <v>307.5</v>
      </c>
      <c r="N23" s="45">
        <v>0.19230769230769232</v>
      </c>
      <c r="O23" s="46" t="s">
        <v>335</v>
      </c>
      <c r="P23" s="46"/>
      <c r="Q23" s="46" t="s">
        <v>335</v>
      </c>
      <c r="R23" s="46" t="s">
        <v>335</v>
      </c>
      <c r="S23" s="113" t="s">
        <v>374</v>
      </c>
      <c r="T23" s="116" t="s">
        <v>579</v>
      </c>
      <c r="U23" s="113" t="s">
        <v>0</v>
      </c>
      <c r="V23" s="113"/>
    </row>
    <row r="24" spans="1:22" ht="15" customHeight="1">
      <c r="A24" s="50" t="s">
        <v>564</v>
      </c>
      <c r="B24" s="51">
        <v>124</v>
      </c>
      <c r="C24" s="47" t="s">
        <v>308</v>
      </c>
      <c r="D24" s="50" t="s">
        <v>581</v>
      </c>
      <c r="E24" s="47">
        <v>7.87</v>
      </c>
      <c r="F24" s="47">
        <v>5</v>
      </c>
      <c r="G24" s="47">
        <v>3</v>
      </c>
      <c r="H24" s="47">
        <v>0.62</v>
      </c>
      <c r="I24" s="52">
        <v>6.8315972222222229E-2</v>
      </c>
      <c r="J24" s="50" t="s">
        <v>565</v>
      </c>
      <c r="K24" s="257">
        <v>1619</v>
      </c>
      <c r="L24" s="53">
        <v>12952</v>
      </c>
      <c r="M24" s="54">
        <v>249.07692307692307</v>
      </c>
      <c r="N24" s="55">
        <v>0.15384615384615383</v>
      </c>
      <c r="O24" s="56"/>
      <c r="P24" s="56"/>
      <c r="Q24" s="56"/>
      <c r="R24" s="56"/>
      <c r="S24" s="113">
        <v>2115</v>
      </c>
      <c r="T24" s="116" t="s">
        <v>573</v>
      </c>
      <c r="U24" s="113" t="s">
        <v>0</v>
      </c>
      <c r="V24" s="114"/>
    </row>
    <row r="25" spans="1:22" ht="15" customHeight="1">
      <c r="A25" s="38" t="s">
        <v>564</v>
      </c>
      <c r="B25" s="39">
        <v>119</v>
      </c>
      <c r="C25" s="49" t="s">
        <v>274</v>
      </c>
      <c r="D25" s="38" t="s">
        <v>275</v>
      </c>
      <c r="E25" s="40">
        <v>8</v>
      </c>
      <c r="F25" s="40">
        <v>8</v>
      </c>
      <c r="G25" s="40">
        <v>3.5</v>
      </c>
      <c r="H25" s="40">
        <v>1</v>
      </c>
      <c r="I25" s="41">
        <v>0.12962962962962962</v>
      </c>
      <c r="J25" s="38" t="s">
        <v>572</v>
      </c>
      <c r="K25" s="256">
        <v>1599</v>
      </c>
      <c r="L25" s="43">
        <v>9594</v>
      </c>
      <c r="M25" s="44">
        <v>184.5</v>
      </c>
      <c r="N25" s="45">
        <v>0.11538461538461539</v>
      </c>
      <c r="O25" s="46" t="s">
        <v>335</v>
      </c>
      <c r="P25" s="46"/>
      <c r="Q25" s="46" t="s">
        <v>335</v>
      </c>
      <c r="R25" s="46" t="s">
        <v>335</v>
      </c>
      <c r="S25" s="113" t="s">
        <v>273</v>
      </c>
      <c r="T25" s="116" t="s">
        <v>579</v>
      </c>
      <c r="U25" s="113" t="s">
        <v>0</v>
      </c>
      <c r="V25" s="113"/>
    </row>
    <row r="26" spans="1:22" ht="15" customHeight="1">
      <c r="A26" s="50" t="s">
        <v>564</v>
      </c>
      <c r="B26" s="51">
        <v>141</v>
      </c>
      <c r="C26" s="47" t="s">
        <v>433</v>
      </c>
      <c r="D26" s="50" t="s">
        <v>582</v>
      </c>
      <c r="E26" s="47">
        <v>10.5</v>
      </c>
      <c r="F26" s="47">
        <v>4.5</v>
      </c>
      <c r="G26" s="47">
        <v>0.5</v>
      </c>
      <c r="H26" s="47">
        <v>1.06</v>
      </c>
      <c r="I26" s="52">
        <v>1.3671875E-2</v>
      </c>
      <c r="J26" s="50" t="s">
        <v>577</v>
      </c>
      <c r="K26" s="257">
        <v>1715</v>
      </c>
      <c r="L26" s="53">
        <v>17150</v>
      </c>
      <c r="M26" s="54">
        <v>329.80769230769232</v>
      </c>
      <c r="N26" s="55">
        <v>0.19230769230769232</v>
      </c>
      <c r="O26" s="56"/>
      <c r="P26" s="56"/>
      <c r="Q26" s="56"/>
      <c r="R26" s="56"/>
      <c r="S26" s="113" t="s">
        <v>432</v>
      </c>
      <c r="T26" s="116" t="s">
        <v>191</v>
      </c>
      <c r="U26" s="113" t="s">
        <v>0</v>
      </c>
      <c r="V26" s="114"/>
    </row>
    <row r="27" spans="1:22" ht="15" customHeight="1">
      <c r="A27" s="38" t="s">
        <v>564</v>
      </c>
      <c r="B27" s="39">
        <v>98</v>
      </c>
      <c r="C27" s="40" t="s">
        <v>135</v>
      </c>
      <c r="D27" s="38" t="s">
        <v>351</v>
      </c>
      <c r="E27" s="40">
        <v>5.7</v>
      </c>
      <c r="F27" s="40">
        <v>3.65</v>
      </c>
      <c r="G27" s="40">
        <v>1.25</v>
      </c>
      <c r="H27" s="40">
        <v>0.2</v>
      </c>
      <c r="I27" s="41">
        <v>1.5049913194444445E-2</v>
      </c>
      <c r="J27" s="38" t="s">
        <v>565</v>
      </c>
      <c r="K27" s="256">
        <v>1599</v>
      </c>
      <c r="L27" s="43">
        <v>25584</v>
      </c>
      <c r="M27" s="44">
        <v>492</v>
      </c>
      <c r="N27" s="45">
        <v>0.30769230769230771</v>
      </c>
      <c r="O27" s="46" t="s">
        <v>335</v>
      </c>
      <c r="P27" s="46"/>
      <c r="Q27" s="46" t="s">
        <v>335</v>
      </c>
      <c r="R27" s="46" t="s">
        <v>335</v>
      </c>
      <c r="S27" s="113" t="s">
        <v>350</v>
      </c>
      <c r="T27" s="116" t="s">
        <v>566</v>
      </c>
      <c r="U27" s="113" t="s">
        <v>0</v>
      </c>
      <c r="V27" s="113"/>
    </row>
    <row r="28" spans="1:22" ht="15" customHeight="1">
      <c r="A28" s="38" t="s">
        <v>564</v>
      </c>
      <c r="B28" s="39">
        <v>110</v>
      </c>
      <c r="C28" s="40" t="s">
        <v>140</v>
      </c>
      <c r="D28" s="38" t="s">
        <v>369</v>
      </c>
      <c r="E28" s="40">
        <v>7.375</v>
      </c>
      <c r="F28" s="40">
        <v>4.875</v>
      </c>
      <c r="G28" s="40">
        <v>4</v>
      </c>
      <c r="H28" s="40">
        <v>0.28000000000000003</v>
      </c>
      <c r="I28" s="41">
        <v>8.3224826388888895E-2</v>
      </c>
      <c r="J28" s="38" t="s">
        <v>565</v>
      </c>
      <c r="K28" s="256">
        <v>1599</v>
      </c>
      <c r="L28" s="43">
        <v>12792</v>
      </c>
      <c r="M28" s="44">
        <v>246</v>
      </c>
      <c r="N28" s="45">
        <v>0.15384615384615385</v>
      </c>
      <c r="O28" s="46" t="s">
        <v>335</v>
      </c>
      <c r="P28" s="46"/>
      <c r="Q28" s="46" t="s">
        <v>335</v>
      </c>
      <c r="R28" s="46" t="s">
        <v>335</v>
      </c>
      <c r="S28" s="113" t="s">
        <v>368</v>
      </c>
      <c r="T28" s="116" t="s">
        <v>566</v>
      </c>
      <c r="U28" s="113" t="s">
        <v>0</v>
      </c>
      <c r="V28" s="113"/>
    </row>
    <row r="29" spans="1:22" ht="15" customHeight="1">
      <c r="A29" s="38" t="s">
        <v>564</v>
      </c>
      <c r="B29" s="39">
        <v>122</v>
      </c>
      <c r="C29" s="40" t="s">
        <v>186</v>
      </c>
      <c r="D29" s="38" t="s">
        <v>583</v>
      </c>
      <c r="E29" s="40">
        <v>5.4</v>
      </c>
      <c r="F29" s="40">
        <v>5.3</v>
      </c>
      <c r="G29" s="40">
        <v>1.25</v>
      </c>
      <c r="H29" s="40">
        <v>0.2</v>
      </c>
      <c r="I29" s="41">
        <v>2.0703124999999999E-2</v>
      </c>
      <c r="J29" s="38" t="s">
        <v>572</v>
      </c>
      <c r="K29" s="256">
        <v>1599</v>
      </c>
      <c r="L29" s="43">
        <v>28782</v>
      </c>
      <c r="M29" s="44">
        <v>553.5</v>
      </c>
      <c r="N29" s="45">
        <v>0.34615384615384615</v>
      </c>
      <c r="O29" s="46" t="s">
        <v>335</v>
      </c>
      <c r="P29" s="46"/>
      <c r="Q29" s="46" t="s">
        <v>335</v>
      </c>
      <c r="R29" s="46" t="s">
        <v>335</v>
      </c>
      <c r="S29" s="113" t="s">
        <v>509</v>
      </c>
      <c r="T29" s="116" t="s">
        <v>575</v>
      </c>
      <c r="U29" s="113" t="s">
        <v>0</v>
      </c>
      <c r="V29" s="113"/>
    </row>
    <row r="30" spans="1:22" ht="15" customHeight="1">
      <c r="A30" s="38" t="s">
        <v>564</v>
      </c>
      <c r="B30" s="39">
        <v>56</v>
      </c>
      <c r="C30" s="40" t="s">
        <v>148</v>
      </c>
      <c r="D30" s="38" t="s">
        <v>390</v>
      </c>
      <c r="E30" s="40">
        <v>4</v>
      </c>
      <c r="F30" s="40">
        <v>6</v>
      </c>
      <c r="G30" s="40">
        <v>11</v>
      </c>
      <c r="H30" s="40">
        <v>5</v>
      </c>
      <c r="I30" s="41">
        <v>0.15277777777777779</v>
      </c>
      <c r="J30" s="38" t="s">
        <v>584</v>
      </c>
      <c r="K30" s="256">
        <v>184</v>
      </c>
      <c r="L30" s="43">
        <v>920</v>
      </c>
      <c r="M30" s="44">
        <v>17.692307692307693</v>
      </c>
      <c r="N30" s="45">
        <v>9.6153846153846159E-2</v>
      </c>
      <c r="O30" s="46"/>
      <c r="P30" s="46" t="s">
        <v>335</v>
      </c>
      <c r="Q30" s="46"/>
      <c r="R30" s="46" t="s">
        <v>335</v>
      </c>
      <c r="S30" s="113" t="s">
        <v>389</v>
      </c>
      <c r="T30" s="116" t="s">
        <v>573</v>
      </c>
      <c r="U30" s="113" t="s">
        <v>0</v>
      </c>
      <c r="V30" s="113"/>
    </row>
    <row r="31" spans="1:22" ht="15" customHeight="1">
      <c r="A31" s="38" t="s">
        <v>564</v>
      </c>
      <c r="B31" s="39">
        <v>96</v>
      </c>
      <c r="C31" s="49" t="s">
        <v>105</v>
      </c>
      <c r="D31" s="38" t="s">
        <v>269</v>
      </c>
      <c r="E31" s="40">
        <v>6.8</v>
      </c>
      <c r="F31" s="40">
        <v>5.125</v>
      </c>
      <c r="G31" s="40">
        <v>2.75</v>
      </c>
      <c r="H31" s="40">
        <v>0.39</v>
      </c>
      <c r="I31" s="41">
        <v>5.5461516203703709E-2</v>
      </c>
      <c r="J31" s="38" t="s">
        <v>565</v>
      </c>
      <c r="K31" s="256">
        <v>1599</v>
      </c>
      <c r="L31" s="43">
        <v>9594</v>
      </c>
      <c r="M31" s="44">
        <v>184.5</v>
      </c>
      <c r="N31" s="45">
        <v>0.11538461538461539</v>
      </c>
      <c r="O31" s="46" t="s">
        <v>335</v>
      </c>
      <c r="P31" s="46"/>
      <c r="Q31" s="46" t="s">
        <v>335</v>
      </c>
      <c r="R31" s="46" t="s">
        <v>335</v>
      </c>
      <c r="S31" s="113" t="s">
        <v>268</v>
      </c>
      <c r="T31" s="116" t="s">
        <v>579</v>
      </c>
      <c r="U31" s="113" t="s">
        <v>0</v>
      </c>
      <c r="V31" s="113"/>
    </row>
    <row r="32" spans="1:22" ht="15" customHeight="1">
      <c r="A32" s="38" t="s">
        <v>564</v>
      </c>
      <c r="B32" s="39">
        <v>57</v>
      </c>
      <c r="C32" s="40" t="s">
        <v>149</v>
      </c>
      <c r="D32" s="38" t="s">
        <v>392</v>
      </c>
      <c r="E32" s="40">
        <v>4</v>
      </c>
      <c r="F32" s="40">
        <v>6</v>
      </c>
      <c r="G32" s="40">
        <v>11</v>
      </c>
      <c r="H32" s="40">
        <v>5</v>
      </c>
      <c r="I32" s="41">
        <v>0.15277777777777779</v>
      </c>
      <c r="J32" s="38" t="s">
        <v>584</v>
      </c>
      <c r="K32" s="256">
        <v>184</v>
      </c>
      <c r="L32" s="43">
        <v>920</v>
      </c>
      <c r="M32" s="44">
        <v>17.692307692307693</v>
      </c>
      <c r="N32" s="45">
        <v>9.6153846153846159E-2</v>
      </c>
      <c r="O32" s="46"/>
      <c r="P32" s="46" t="s">
        <v>335</v>
      </c>
      <c r="Q32" s="46"/>
      <c r="R32" s="46" t="s">
        <v>335</v>
      </c>
      <c r="S32" s="113" t="s">
        <v>391</v>
      </c>
      <c r="T32" s="116" t="s">
        <v>573</v>
      </c>
      <c r="U32" s="113" t="s">
        <v>0</v>
      </c>
      <c r="V32" s="113"/>
    </row>
    <row r="33" spans="1:22" ht="15" customHeight="1">
      <c r="A33" s="38" t="s">
        <v>564</v>
      </c>
      <c r="B33" s="39">
        <v>139</v>
      </c>
      <c r="C33" s="49" t="s">
        <v>138</v>
      </c>
      <c r="D33" s="38" t="s">
        <v>585</v>
      </c>
      <c r="E33" s="40">
        <v>10.25</v>
      </c>
      <c r="F33" s="40">
        <v>3.65</v>
      </c>
      <c r="G33" s="40">
        <v>2.25</v>
      </c>
      <c r="H33" s="40">
        <v>0.33</v>
      </c>
      <c r="I33" s="41">
        <v>4.871419270833334E-2</v>
      </c>
      <c r="J33" s="38" t="s">
        <v>565</v>
      </c>
      <c r="K33" s="256">
        <v>1715</v>
      </c>
      <c r="L33" s="43">
        <v>18865</v>
      </c>
      <c r="M33" s="44">
        <v>362.78846153846155</v>
      </c>
      <c r="N33" s="45">
        <v>0.21153846153846154</v>
      </c>
      <c r="O33" s="46" t="s">
        <v>335</v>
      </c>
      <c r="P33" s="46" t="s">
        <v>335</v>
      </c>
      <c r="Q33" s="46" t="s">
        <v>335</v>
      </c>
      <c r="R33" s="46" t="s">
        <v>335</v>
      </c>
      <c r="S33" s="113" t="s">
        <v>359</v>
      </c>
      <c r="T33" s="116" t="s">
        <v>579</v>
      </c>
      <c r="U33" s="113" t="s">
        <v>0</v>
      </c>
      <c r="V33" s="113"/>
    </row>
    <row r="34" spans="1:22" ht="15" customHeight="1">
      <c r="A34" s="38" t="s">
        <v>564</v>
      </c>
      <c r="B34" s="39">
        <v>133</v>
      </c>
      <c r="C34" s="49" t="s">
        <v>145</v>
      </c>
      <c r="D34" s="38" t="s">
        <v>586</v>
      </c>
      <c r="E34" s="40">
        <v>5.7</v>
      </c>
      <c r="F34" s="40">
        <v>3.65</v>
      </c>
      <c r="G34" s="40">
        <v>3</v>
      </c>
      <c r="H34" s="40">
        <v>0.2</v>
      </c>
      <c r="I34" s="41">
        <v>3.6119791666666665E-2</v>
      </c>
      <c r="J34" s="38" t="s">
        <v>565</v>
      </c>
      <c r="K34" s="256">
        <v>1715</v>
      </c>
      <c r="L34" s="43">
        <v>17150</v>
      </c>
      <c r="M34" s="44">
        <v>329.80769230769232</v>
      </c>
      <c r="N34" s="45">
        <v>0.19230769230769232</v>
      </c>
      <c r="O34" s="46" t="s">
        <v>335</v>
      </c>
      <c r="P34" s="46" t="s">
        <v>335</v>
      </c>
      <c r="Q34" s="46" t="s">
        <v>335</v>
      </c>
      <c r="R34" s="46" t="s">
        <v>335</v>
      </c>
      <c r="S34" s="113" t="s">
        <v>382</v>
      </c>
      <c r="T34" s="116" t="s">
        <v>579</v>
      </c>
      <c r="U34" s="113" t="s">
        <v>0</v>
      </c>
      <c r="V34" s="113"/>
    </row>
    <row r="35" spans="1:22" ht="15" customHeight="1">
      <c r="A35" s="38" t="s">
        <v>564</v>
      </c>
      <c r="B35" s="39">
        <v>111</v>
      </c>
      <c r="C35" s="40" t="s">
        <v>170</v>
      </c>
      <c r="D35" s="38" t="s">
        <v>587</v>
      </c>
      <c r="E35" s="40">
        <v>7.375</v>
      </c>
      <c r="F35" s="40">
        <v>4.875</v>
      </c>
      <c r="G35" s="40">
        <v>2</v>
      </c>
      <c r="H35" s="40">
        <v>0.2</v>
      </c>
      <c r="I35" s="41">
        <v>4.1612413194444448E-2</v>
      </c>
      <c r="J35" s="38" t="s">
        <v>565</v>
      </c>
      <c r="K35" s="256">
        <v>1599</v>
      </c>
      <c r="L35" s="43">
        <v>12792</v>
      </c>
      <c r="M35" s="44">
        <v>246</v>
      </c>
      <c r="N35" s="45">
        <v>0.15384615384615385</v>
      </c>
      <c r="O35" s="46" t="s">
        <v>335</v>
      </c>
      <c r="P35" s="46"/>
      <c r="Q35" s="46" t="s">
        <v>335</v>
      </c>
      <c r="R35" s="46" t="s">
        <v>335</v>
      </c>
      <c r="S35" s="113" t="s">
        <v>476</v>
      </c>
      <c r="T35" s="116" t="s">
        <v>573</v>
      </c>
      <c r="U35" s="113" t="s">
        <v>0</v>
      </c>
      <c r="V35" s="113"/>
    </row>
    <row r="36" spans="1:22" ht="15" customHeight="1">
      <c r="A36" s="38" t="s">
        <v>564</v>
      </c>
      <c r="B36" s="39">
        <v>82</v>
      </c>
      <c r="C36" s="40" t="s">
        <v>108</v>
      </c>
      <c r="D36" s="38" t="s">
        <v>588</v>
      </c>
      <c r="E36" s="40">
        <v>5.7</v>
      </c>
      <c r="F36" s="40">
        <v>3.65</v>
      </c>
      <c r="G36" s="40">
        <v>1</v>
      </c>
      <c r="H36" s="40">
        <v>0.2</v>
      </c>
      <c r="I36" s="41">
        <v>1.2039930555555555E-2</v>
      </c>
      <c r="J36" s="38" t="s">
        <v>565</v>
      </c>
      <c r="K36" s="256">
        <v>1503</v>
      </c>
      <c r="L36" s="43">
        <v>9018</v>
      </c>
      <c r="M36" s="44">
        <v>173.42307692307693</v>
      </c>
      <c r="N36" s="45">
        <v>0.11538461538461539</v>
      </c>
      <c r="O36" s="46" t="s">
        <v>335</v>
      </c>
      <c r="P36" s="46"/>
      <c r="Q36" s="46"/>
      <c r="R36" s="46" t="s">
        <v>335</v>
      </c>
      <c r="S36" s="113" t="s">
        <v>276</v>
      </c>
      <c r="T36" s="116" t="s">
        <v>566</v>
      </c>
      <c r="U36" s="113" t="s">
        <v>92</v>
      </c>
      <c r="V36" s="113"/>
    </row>
    <row r="37" spans="1:22" ht="15" customHeight="1">
      <c r="A37" s="38" t="s">
        <v>564</v>
      </c>
      <c r="B37" s="39">
        <v>115</v>
      </c>
      <c r="C37" s="40" t="s">
        <v>174</v>
      </c>
      <c r="D37" s="38" t="s">
        <v>589</v>
      </c>
      <c r="E37" s="40">
        <v>7.375</v>
      </c>
      <c r="F37" s="40">
        <v>5</v>
      </c>
      <c r="G37" s="40">
        <v>3</v>
      </c>
      <c r="H37" s="40">
        <v>0.3</v>
      </c>
      <c r="I37" s="41">
        <v>6.4019097222222224E-2</v>
      </c>
      <c r="J37" s="38" t="s">
        <v>572</v>
      </c>
      <c r="K37" s="256">
        <v>1599</v>
      </c>
      <c r="L37" s="43">
        <v>12792</v>
      </c>
      <c r="M37" s="44">
        <v>246</v>
      </c>
      <c r="N37" s="45">
        <v>0.15384615384615385</v>
      </c>
      <c r="O37" s="46" t="s">
        <v>335</v>
      </c>
      <c r="P37" s="46"/>
      <c r="Q37" s="46" t="s">
        <v>335</v>
      </c>
      <c r="R37" s="46" t="s">
        <v>335</v>
      </c>
      <c r="S37" s="113" t="s">
        <v>484</v>
      </c>
      <c r="T37" s="116" t="s">
        <v>573</v>
      </c>
      <c r="U37" s="113" t="s">
        <v>0</v>
      </c>
      <c r="V37" s="113"/>
    </row>
    <row r="38" spans="1:22" ht="15" customHeight="1">
      <c r="A38" s="38" t="s">
        <v>564</v>
      </c>
      <c r="B38" s="39">
        <v>116</v>
      </c>
      <c r="C38" s="40" t="s">
        <v>139</v>
      </c>
      <c r="D38" s="38" t="s">
        <v>362</v>
      </c>
      <c r="E38" s="40">
        <v>7.375</v>
      </c>
      <c r="F38" s="40">
        <v>4.875</v>
      </c>
      <c r="G38" s="40">
        <v>1</v>
      </c>
      <c r="H38" s="40">
        <v>0.21</v>
      </c>
      <c r="I38" s="41">
        <v>2.0806206597222224E-2</v>
      </c>
      <c r="J38" s="38" t="s">
        <v>565</v>
      </c>
      <c r="K38" s="256">
        <v>1599</v>
      </c>
      <c r="L38" s="43">
        <v>15990</v>
      </c>
      <c r="M38" s="44">
        <v>307.5</v>
      </c>
      <c r="N38" s="45">
        <v>0.19230769230769232</v>
      </c>
      <c r="O38" s="46" t="s">
        <v>335</v>
      </c>
      <c r="P38" s="46"/>
      <c r="Q38" s="46" t="s">
        <v>335</v>
      </c>
      <c r="R38" s="46" t="s">
        <v>335</v>
      </c>
      <c r="S38" s="113" t="s">
        <v>361</v>
      </c>
      <c r="T38" s="116" t="s">
        <v>566</v>
      </c>
      <c r="U38" s="113" t="s">
        <v>0</v>
      </c>
      <c r="V38" s="113"/>
    </row>
    <row r="39" spans="1:22" ht="15" customHeight="1">
      <c r="A39" s="38" t="s">
        <v>564</v>
      </c>
      <c r="B39" s="39">
        <v>109</v>
      </c>
      <c r="C39" s="40" t="s">
        <v>90</v>
      </c>
      <c r="D39" s="38" t="s">
        <v>224</v>
      </c>
      <c r="E39" s="40">
        <v>6.5</v>
      </c>
      <c r="F39" s="40">
        <v>3.65</v>
      </c>
      <c r="G39" s="40">
        <v>3</v>
      </c>
      <c r="H39" s="40">
        <v>0.28000000000000003</v>
      </c>
      <c r="I39" s="41">
        <v>4.118923611111111E-2</v>
      </c>
      <c r="J39" s="38" t="s">
        <v>565</v>
      </c>
      <c r="K39" s="256">
        <v>1599</v>
      </c>
      <c r="L39" s="43">
        <v>7995</v>
      </c>
      <c r="M39" s="44">
        <v>153.75</v>
      </c>
      <c r="N39" s="45">
        <v>9.6153846153846159E-2</v>
      </c>
      <c r="O39" s="46" t="s">
        <v>335</v>
      </c>
      <c r="P39" s="46"/>
      <c r="Q39" s="46" t="s">
        <v>335</v>
      </c>
      <c r="R39" s="46" t="s">
        <v>335</v>
      </c>
      <c r="S39" s="113" t="s">
        <v>223</v>
      </c>
      <c r="T39" s="116" t="s">
        <v>566</v>
      </c>
      <c r="U39" s="113" t="s">
        <v>70</v>
      </c>
      <c r="V39" s="113"/>
    </row>
    <row r="40" spans="1:22" ht="15" customHeight="1">
      <c r="A40" s="38" t="s">
        <v>564</v>
      </c>
      <c r="B40" s="39">
        <v>67</v>
      </c>
      <c r="C40" s="40" t="s">
        <v>181</v>
      </c>
      <c r="D40" s="38" t="s">
        <v>501</v>
      </c>
      <c r="E40" s="40">
        <v>8</v>
      </c>
      <c r="F40" s="40">
        <v>8</v>
      </c>
      <c r="G40" s="40">
        <v>2</v>
      </c>
      <c r="H40" s="40">
        <v>0.5</v>
      </c>
      <c r="I40" s="41">
        <v>7.407407407407407E-2</v>
      </c>
      <c r="J40" s="38" t="s">
        <v>572</v>
      </c>
      <c r="K40" s="256">
        <v>1503</v>
      </c>
      <c r="L40" s="43">
        <v>9018</v>
      </c>
      <c r="M40" s="44">
        <v>173.42307692307693</v>
      </c>
      <c r="N40" s="45">
        <v>0.11538461538461539</v>
      </c>
      <c r="O40" s="46"/>
      <c r="P40" s="46" t="s">
        <v>335</v>
      </c>
      <c r="Q40" s="46"/>
      <c r="R40" s="46" t="s">
        <v>335</v>
      </c>
      <c r="S40" s="113" t="s">
        <v>590</v>
      </c>
      <c r="T40" s="116" t="s">
        <v>573</v>
      </c>
      <c r="U40" s="113" t="s">
        <v>0</v>
      </c>
      <c r="V40" s="113"/>
    </row>
    <row r="41" spans="1:22" ht="15" customHeight="1">
      <c r="A41" s="38" t="s">
        <v>564</v>
      </c>
      <c r="B41" s="39">
        <v>92</v>
      </c>
      <c r="C41" s="40" t="s">
        <v>110</v>
      </c>
      <c r="D41" s="38" t="s">
        <v>286</v>
      </c>
      <c r="E41" s="40">
        <v>5.7</v>
      </c>
      <c r="F41" s="40">
        <v>3.65</v>
      </c>
      <c r="G41" s="40">
        <v>0.75</v>
      </c>
      <c r="H41" s="40">
        <v>0.6</v>
      </c>
      <c r="I41" s="41">
        <v>9.0299479166666662E-3</v>
      </c>
      <c r="J41" s="38" t="s">
        <v>565</v>
      </c>
      <c r="K41" s="256">
        <v>1599</v>
      </c>
      <c r="L41" s="43">
        <v>22386</v>
      </c>
      <c r="M41" s="44">
        <v>430.5</v>
      </c>
      <c r="N41" s="45">
        <v>0.26923076923076922</v>
      </c>
      <c r="O41" s="46" t="s">
        <v>335</v>
      </c>
      <c r="P41" s="46"/>
      <c r="Q41" s="46" t="s">
        <v>335</v>
      </c>
      <c r="R41" s="46" t="s">
        <v>335</v>
      </c>
      <c r="S41" s="113" t="s">
        <v>285</v>
      </c>
      <c r="T41" s="116" t="s">
        <v>566</v>
      </c>
      <c r="U41" s="113" t="s">
        <v>92</v>
      </c>
      <c r="V41" s="113"/>
    </row>
    <row r="42" spans="1:22" ht="15" customHeight="1">
      <c r="A42" s="38" t="s">
        <v>564</v>
      </c>
      <c r="B42" s="39">
        <v>112</v>
      </c>
      <c r="C42" s="40" t="s">
        <v>171</v>
      </c>
      <c r="D42" s="38" t="s">
        <v>479</v>
      </c>
      <c r="E42" s="40">
        <v>7.375</v>
      </c>
      <c r="F42" s="40">
        <v>4.875</v>
      </c>
      <c r="G42" s="40">
        <v>3</v>
      </c>
      <c r="H42" s="40">
        <v>0.2</v>
      </c>
      <c r="I42" s="41">
        <v>6.2418619791666664E-2</v>
      </c>
      <c r="J42" s="38" t="s">
        <v>565</v>
      </c>
      <c r="K42" s="256">
        <v>1599</v>
      </c>
      <c r="L42" s="43">
        <v>15990</v>
      </c>
      <c r="M42" s="44">
        <v>307.5</v>
      </c>
      <c r="N42" s="45">
        <v>0.19230769230769232</v>
      </c>
      <c r="O42" s="46" t="s">
        <v>335</v>
      </c>
      <c r="P42" s="46"/>
      <c r="Q42" s="46" t="s">
        <v>335</v>
      </c>
      <c r="R42" s="46" t="s">
        <v>335</v>
      </c>
      <c r="S42" s="113" t="s">
        <v>478</v>
      </c>
      <c r="T42" s="116" t="s">
        <v>573</v>
      </c>
      <c r="U42" s="113" t="s">
        <v>0</v>
      </c>
      <c r="V42" s="113"/>
    </row>
    <row r="43" spans="1:22" ht="15" customHeight="1">
      <c r="A43" s="38" t="s">
        <v>564</v>
      </c>
      <c r="B43" s="39">
        <v>73</v>
      </c>
      <c r="C43" s="40" t="s">
        <v>127</v>
      </c>
      <c r="D43" s="38" t="s">
        <v>591</v>
      </c>
      <c r="E43" s="40">
        <v>10</v>
      </c>
      <c r="F43" s="40">
        <v>6</v>
      </c>
      <c r="G43" s="40">
        <v>3.5</v>
      </c>
      <c r="H43" s="40">
        <v>2.5</v>
      </c>
      <c r="I43" s="41">
        <v>0.12152777777777778</v>
      </c>
      <c r="J43" s="38" t="s">
        <v>565</v>
      </c>
      <c r="K43" s="256">
        <v>280</v>
      </c>
      <c r="L43" s="43">
        <v>2800</v>
      </c>
      <c r="M43" s="44">
        <v>53.846153846153847</v>
      </c>
      <c r="N43" s="45">
        <v>0.19230769230769232</v>
      </c>
      <c r="O43" s="46"/>
      <c r="P43" s="46" t="s">
        <v>335</v>
      </c>
      <c r="Q43" s="46" t="s">
        <v>335</v>
      </c>
      <c r="R43" s="46" t="s">
        <v>335</v>
      </c>
      <c r="S43" s="113" t="s">
        <v>330</v>
      </c>
      <c r="T43" s="116" t="s">
        <v>573</v>
      </c>
      <c r="U43" s="113" t="s">
        <v>0</v>
      </c>
      <c r="V43" s="113"/>
    </row>
    <row r="44" spans="1:22" ht="15" customHeight="1">
      <c r="A44" s="38" t="s">
        <v>564</v>
      </c>
      <c r="B44" s="39">
        <v>88</v>
      </c>
      <c r="C44" s="49" t="s">
        <v>176</v>
      </c>
      <c r="D44" s="38" t="s">
        <v>492</v>
      </c>
      <c r="E44" s="40">
        <v>5.7</v>
      </c>
      <c r="F44" s="40">
        <v>3.65</v>
      </c>
      <c r="G44" s="40">
        <v>3</v>
      </c>
      <c r="H44" s="40">
        <v>0.28000000000000003</v>
      </c>
      <c r="I44" s="41">
        <v>3.6119791666666665E-2</v>
      </c>
      <c r="J44" s="38" t="s">
        <v>565</v>
      </c>
      <c r="K44" s="256">
        <v>1599</v>
      </c>
      <c r="L44" s="43">
        <v>15990</v>
      </c>
      <c r="M44" s="44">
        <v>307.5</v>
      </c>
      <c r="N44" s="45">
        <v>0.19230769230769232</v>
      </c>
      <c r="O44" s="46" t="s">
        <v>335</v>
      </c>
      <c r="P44" s="46"/>
      <c r="Q44" s="46" t="s">
        <v>335</v>
      </c>
      <c r="R44" s="46" t="s">
        <v>335</v>
      </c>
      <c r="S44" s="113" t="s">
        <v>491</v>
      </c>
      <c r="T44" s="116" t="s">
        <v>579</v>
      </c>
      <c r="U44" s="113" t="s">
        <v>0</v>
      </c>
      <c r="V44" s="113"/>
    </row>
    <row r="45" spans="1:22" ht="15" customHeight="1">
      <c r="A45" s="38" t="s">
        <v>564</v>
      </c>
      <c r="B45" s="39">
        <v>108</v>
      </c>
      <c r="C45" s="40" t="s">
        <v>89</v>
      </c>
      <c r="D45" s="38" t="s">
        <v>221</v>
      </c>
      <c r="E45" s="40">
        <v>6.5</v>
      </c>
      <c r="F45" s="40">
        <v>3.65</v>
      </c>
      <c r="G45" s="40">
        <v>2.25</v>
      </c>
      <c r="H45" s="40">
        <v>0.13</v>
      </c>
      <c r="I45" s="41">
        <v>3.0891927083333329E-2</v>
      </c>
      <c r="J45" s="38" t="s">
        <v>565</v>
      </c>
      <c r="K45" s="256">
        <v>1599</v>
      </c>
      <c r="L45" s="43">
        <v>11193</v>
      </c>
      <c r="M45" s="44">
        <v>215.25</v>
      </c>
      <c r="N45" s="45">
        <v>0.13461538461538461</v>
      </c>
      <c r="O45" s="46" t="s">
        <v>335</v>
      </c>
      <c r="P45" s="46"/>
      <c r="Q45" s="46" t="s">
        <v>335</v>
      </c>
      <c r="R45" s="46" t="s">
        <v>335</v>
      </c>
      <c r="S45" s="113" t="s">
        <v>220</v>
      </c>
      <c r="T45" s="116" t="s">
        <v>566</v>
      </c>
      <c r="U45" s="113" t="s">
        <v>70</v>
      </c>
      <c r="V45" s="113"/>
    </row>
    <row r="46" spans="1:22" ht="15" customHeight="1">
      <c r="A46" s="38" t="s">
        <v>564</v>
      </c>
      <c r="B46" s="39">
        <v>91</v>
      </c>
      <c r="C46" s="40" t="s">
        <v>112</v>
      </c>
      <c r="D46" s="38" t="s">
        <v>288</v>
      </c>
      <c r="E46" s="40">
        <v>5.7</v>
      </c>
      <c r="F46" s="40">
        <v>3.65</v>
      </c>
      <c r="G46" s="40">
        <v>0.75</v>
      </c>
      <c r="H46" s="40">
        <v>0.22</v>
      </c>
      <c r="I46" s="41">
        <v>9.0299479166666662E-3</v>
      </c>
      <c r="J46" s="38" t="s">
        <v>565</v>
      </c>
      <c r="K46" s="256">
        <v>1599</v>
      </c>
      <c r="L46" s="43">
        <v>33579</v>
      </c>
      <c r="M46" s="44">
        <v>645.75</v>
      </c>
      <c r="N46" s="45">
        <v>0.40384615384615385</v>
      </c>
      <c r="O46" s="46" t="s">
        <v>335</v>
      </c>
      <c r="P46" s="46"/>
      <c r="Q46" s="46" t="s">
        <v>335</v>
      </c>
      <c r="R46" s="46" t="s">
        <v>335</v>
      </c>
      <c r="S46" s="113" t="s">
        <v>287</v>
      </c>
      <c r="T46" s="116" t="s">
        <v>566</v>
      </c>
      <c r="U46" s="113" t="s">
        <v>92</v>
      </c>
      <c r="V46" s="113"/>
    </row>
    <row r="47" spans="1:22" ht="15" customHeight="1">
      <c r="A47" s="38" t="s">
        <v>564</v>
      </c>
      <c r="B47" s="39">
        <v>113</v>
      </c>
      <c r="C47" s="40" t="s">
        <v>172</v>
      </c>
      <c r="D47" s="38" t="s">
        <v>592</v>
      </c>
      <c r="E47" s="40">
        <v>7.375</v>
      </c>
      <c r="F47" s="40">
        <v>4.875</v>
      </c>
      <c r="G47" s="40">
        <v>3</v>
      </c>
      <c r="H47" s="40">
        <v>0.1</v>
      </c>
      <c r="I47" s="41">
        <v>6.2418619791666664E-2</v>
      </c>
      <c r="J47" s="38" t="s">
        <v>565</v>
      </c>
      <c r="K47" s="256">
        <v>1599</v>
      </c>
      <c r="L47" s="43">
        <v>12792</v>
      </c>
      <c r="M47" s="44">
        <v>246</v>
      </c>
      <c r="N47" s="45">
        <v>0.15384615384615385</v>
      </c>
      <c r="O47" s="46" t="s">
        <v>335</v>
      </c>
      <c r="P47" s="46"/>
      <c r="Q47" s="46" t="s">
        <v>335</v>
      </c>
      <c r="R47" s="46" t="s">
        <v>335</v>
      </c>
      <c r="S47" s="113" t="s">
        <v>480</v>
      </c>
      <c r="T47" s="116" t="s">
        <v>573</v>
      </c>
      <c r="U47" s="113" t="s">
        <v>0</v>
      </c>
      <c r="V47" s="113"/>
    </row>
    <row r="48" spans="1:22" ht="15" customHeight="1">
      <c r="A48" s="38" t="s">
        <v>564</v>
      </c>
      <c r="B48" s="39">
        <v>140</v>
      </c>
      <c r="C48" s="40" t="s">
        <v>132</v>
      </c>
      <c r="D48" s="38" t="s">
        <v>593</v>
      </c>
      <c r="E48" s="40">
        <v>5.7</v>
      </c>
      <c r="F48" s="40">
        <v>3.65</v>
      </c>
      <c r="G48" s="40">
        <v>1.75</v>
      </c>
      <c r="H48" s="40">
        <v>0.28000000000000003</v>
      </c>
      <c r="I48" s="41">
        <v>2.106987847222222E-2</v>
      </c>
      <c r="J48" s="38" t="s">
        <v>565</v>
      </c>
      <c r="K48" s="256">
        <v>1715</v>
      </c>
      <c r="L48" s="43">
        <v>20580</v>
      </c>
      <c r="M48" s="44">
        <v>395.76923076923077</v>
      </c>
      <c r="N48" s="45">
        <v>0.23076923076923078</v>
      </c>
      <c r="O48" s="46" t="s">
        <v>335</v>
      </c>
      <c r="P48" s="46" t="s">
        <v>335</v>
      </c>
      <c r="Q48" s="46" t="s">
        <v>335</v>
      </c>
      <c r="R48" s="46" t="s">
        <v>335</v>
      </c>
      <c r="S48" s="113" t="s">
        <v>344</v>
      </c>
      <c r="T48" s="116" t="s">
        <v>566</v>
      </c>
      <c r="U48" s="113" t="s">
        <v>0</v>
      </c>
      <c r="V48" s="113"/>
    </row>
    <row r="49" spans="1:22" ht="15" customHeight="1">
      <c r="A49" s="38" t="s">
        <v>564</v>
      </c>
      <c r="B49" s="39">
        <v>101</v>
      </c>
      <c r="C49" s="40" t="s">
        <v>83</v>
      </c>
      <c r="D49" s="38" t="s">
        <v>216</v>
      </c>
      <c r="E49" s="40">
        <v>5.7</v>
      </c>
      <c r="F49" s="40">
        <v>3.65</v>
      </c>
      <c r="G49" s="40">
        <v>2</v>
      </c>
      <c r="H49" s="40">
        <v>0.1</v>
      </c>
      <c r="I49" s="41">
        <v>2.4079861111111111E-2</v>
      </c>
      <c r="J49" s="38" t="s">
        <v>565</v>
      </c>
      <c r="K49" s="256">
        <v>1599</v>
      </c>
      <c r="L49" s="43">
        <v>28782</v>
      </c>
      <c r="M49" s="44">
        <v>553.5</v>
      </c>
      <c r="N49" s="45">
        <v>0.34615384615384615</v>
      </c>
      <c r="O49" s="46" t="s">
        <v>335</v>
      </c>
      <c r="P49" s="46"/>
      <c r="Q49" s="46" t="s">
        <v>335</v>
      </c>
      <c r="R49" s="46" t="s">
        <v>335</v>
      </c>
      <c r="S49" s="113" t="s">
        <v>215</v>
      </c>
      <c r="T49" s="116" t="s">
        <v>566</v>
      </c>
      <c r="U49" s="113" t="s">
        <v>70</v>
      </c>
      <c r="V49" s="113"/>
    </row>
    <row r="50" spans="1:22" ht="15" customHeight="1">
      <c r="A50" s="38" t="s">
        <v>564</v>
      </c>
      <c r="B50" s="39">
        <v>89</v>
      </c>
      <c r="C50" s="40" t="s">
        <v>114</v>
      </c>
      <c r="D50" s="38" t="s">
        <v>290</v>
      </c>
      <c r="E50" s="40">
        <v>5.7</v>
      </c>
      <c r="F50" s="40">
        <v>3.65</v>
      </c>
      <c r="G50" s="40">
        <v>0.75</v>
      </c>
      <c r="H50" s="40">
        <v>0.1</v>
      </c>
      <c r="I50" s="41">
        <v>9.0299479166666662E-3</v>
      </c>
      <c r="J50" s="38" t="s">
        <v>565</v>
      </c>
      <c r="K50" s="256">
        <v>1599</v>
      </c>
      <c r="L50" s="43">
        <v>33579</v>
      </c>
      <c r="M50" s="44">
        <v>645.75</v>
      </c>
      <c r="N50" s="45">
        <v>0.40384615384615385</v>
      </c>
      <c r="O50" s="46" t="s">
        <v>335</v>
      </c>
      <c r="P50" s="46"/>
      <c r="Q50" s="46" t="s">
        <v>335</v>
      </c>
      <c r="R50" s="46" t="s">
        <v>335</v>
      </c>
      <c r="S50" s="113" t="s">
        <v>289</v>
      </c>
      <c r="T50" s="116" t="s">
        <v>566</v>
      </c>
      <c r="U50" s="113" t="s">
        <v>92</v>
      </c>
      <c r="V50" s="113"/>
    </row>
    <row r="51" spans="1:22" ht="15" customHeight="1">
      <c r="A51" s="38" t="s">
        <v>564</v>
      </c>
      <c r="B51" s="39">
        <v>117</v>
      </c>
      <c r="C51" s="40" t="s">
        <v>142</v>
      </c>
      <c r="D51" s="38" t="s">
        <v>373</v>
      </c>
      <c r="E51" s="40">
        <v>5.7</v>
      </c>
      <c r="F51" s="40">
        <v>3.65</v>
      </c>
      <c r="G51" s="40">
        <v>3.5</v>
      </c>
      <c r="H51" s="40">
        <v>0.17</v>
      </c>
      <c r="I51" s="41">
        <v>4.213975694444444E-2</v>
      </c>
      <c r="J51" s="38" t="s">
        <v>565</v>
      </c>
      <c r="K51" s="256">
        <v>1599</v>
      </c>
      <c r="L51" s="43">
        <v>19188</v>
      </c>
      <c r="M51" s="44">
        <v>369</v>
      </c>
      <c r="N51" s="45">
        <v>0.23076923076923078</v>
      </c>
      <c r="O51" s="46" t="s">
        <v>335</v>
      </c>
      <c r="P51" s="46"/>
      <c r="Q51" s="46" t="s">
        <v>335</v>
      </c>
      <c r="R51" s="46" t="s">
        <v>335</v>
      </c>
      <c r="S51" s="113" t="s">
        <v>372</v>
      </c>
      <c r="T51" s="116" t="s">
        <v>566</v>
      </c>
      <c r="U51" s="113" t="s">
        <v>0</v>
      </c>
      <c r="V51" s="113"/>
    </row>
    <row r="52" spans="1:22" ht="15" customHeight="1">
      <c r="A52" s="38" t="s">
        <v>564</v>
      </c>
      <c r="B52" s="39">
        <v>103</v>
      </c>
      <c r="C52" s="40" t="s">
        <v>177</v>
      </c>
      <c r="D52" s="38" t="s">
        <v>494</v>
      </c>
      <c r="E52" s="40">
        <v>5.7</v>
      </c>
      <c r="F52" s="40">
        <v>3.65</v>
      </c>
      <c r="G52" s="40">
        <v>3.75</v>
      </c>
      <c r="H52" s="40">
        <v>0.13</v>
      </c>
      <c r="I52" s="41">
        <v>4.5149739583333334E-2</v>
      </c>
      <c r="J52" s="38" t="s">
        <v>565</v>
      </c>
      <c r="K52" s="256">
        <v>1599</v>
      </c>
      <c r="L52" s="43">
        <v>12792</v>
      </c>
      <c r="M52" s="44">
        <v>246</v>
      </c>
      <c r="N52" s="45">
        <v>0.15384615384615385</v>
      </c>
      <c r="O52" s="46" t="s">
        <v>335</v>
      </c>
      <c r="P52" s="46"/>
      <c r="Q52" s="46" t="s">
        <v>335</v>
      </c>
      <c r="R52" s="46" t="s">
        <v>335</v>
      </c>
      <c r="S52" s="113" t="s">
        <v>493</v>
      </c>
      <c r="T52" s="116" t="s">
        <v>566</v>
      </c>
      <c r="U52" s="113" t="s">
        <v>70</v>
      </c>
      <c r="V52" s="113"/>
    </row>
    <row r="53" spans="1:22" ht="15" customHeight="1">
      <c r="A53" s="38" t="s">
        <v>564</v>
      </c>
      <c r="B53" s="39">
        <v>136</v>
      </c>
      <c r="C53" s="40" t="s">
        <v>157</v>
      </c>
      <c r="D53" s="38" t="s">
        <v>594</v>
      </c>
      <c r="E53" s="40">
        <v>5.7</v>
      </c>
      <c r="F53" s="40">
        <v>3.65</v>
      </c>
      <c r="G53" s="40">
        <v>1.5</v>
      </c>
      <c r="H53" s="40">
        <v>0.04</v>
      </c>
      <c r="I53" s="41">
        <v>1.8059895833333332E-2</v>
      </c>
      <c r="J53" s="38" t="s">
        <v>565</v>
      </c>
      <c r="K53" s="256">
        <v>1715</v>
      </c>
      <c r="L53" s="43">
        <v>12005</v>
      </c>
      <c r="M53" s="44">
        <v>230.86538461538461</v>
      </c>
      <c r="N53" s="45">
        <v>0.13461538461538461</v>
      </c>
      <c r="O53" s="46" t="s">
        <v>335</v>
      </c>
      <c r="P53" s="46" t="s">
        <v>335</v>
      </c>
      <c r="Q53" s="46" t="s">
        <v>335</v>
      </c>
      <c r="R53" s="46" t="s">
        <v>335</v>
      </c>
      <c r="S53" s="113" t="s">
        <v>408</v>
      </c>
      <c r="T53" s="116" t="s">
        <v>595</v>
      </c>
      <c r="U53" s="113" t="s">
        <v>0</v>
      </c>
      <c r="V53" s="113"/>
    </row>
    <row r="54" spans="1:22" ht="15" customHeight="1">
      <c r="A54" s="38" t="s">
        <v>564</v>
      </c>
      <c r="B54" s="39">
        <v>90</v>
      </c>
      <c r="C54" s="40" t="s">
        <v>116</v>
      </c>
      <c r="D54" s="38" t="s">
        <v>299</v>
      </c>
      <c r="E54" s="40">
        <v>5.7</v>
      </c>
      <c r="F54" s="40">
        <v>3.65</v>
      </c>
      <c r="G54" s="40">
        <v>1</v>
      </c>
      <c r="H54" s="40">
        <v>0.1</v>
      </c>
      <c r="I54" s="41">
        <v>1.2039930555555555E-2</v>
      </c>
      <c r="J54" s="38" t="s">
        <v>565</v>
      </c>
      <c r="K54" s="256">
        <v>1599</v>
      </c>
      <c r="L54" s="43">
        <v>7995</v>
      </c>
      <c r="M54" s="44">
        <v>153.75</v>
      </c>
      <c r="N54" s="45">
        <v>9.6153846153846159E-2</v>
      </c>
      <c r="O54" s="46" t="s">
        <v>335</v>
      </c>
      <c r="P54" s="46"/>
      <c r="Q54" s="46" t="s">
        <v>335</v>
      </c>
      <c r="R54" s="46" t="s">
        <v>335</v>
      </c>
      <c r="S54" s="113" t="s">
        <v>298</v>
      </c>
      <c r="T54" s="116" t="s">
        <v>566</v>
      </c>
      <c r="U54" s="113" t="s">
        <v>0</v>
      </c>
      <c r="V54" s="113"/>
    </row>
    <row r="55" spans="1:22" ht="15" customHeight="1">
      <c r="A55" s="38" t="s">
        <v>564</v>
      </c>
      <c r="B55" s="39">
        <v>114</v>
      </c>
      <c r="C55" s="40" t="s">
        <v>173</v>
      </c>
      <c r="D55" s="38" t="s">
        <v>596</v>
      </c>
      <c r="E55" s="40">
        <v>7.375</v>
      </c>
      <c r="F55" s="40">
        <v>4.875</v>
      </c>
      <c r="G55" s="40">
        <v>3</v>
      </c>
      <c r="H55" s="40">
        <v>0.1</v>
      </c>
      <c r="I55" s="41">
        <v>6.2418619791666664E-2</v>
      </c>
      <c r="J55" s="38" t="s">
        <v>565</v>
      </c>
      <c r="K55" s="256">
        <v>1599</v>
      </c>
      <c r="L55" s="43">
        <v>15990</v>
      </c>
      <c r="M55" s="44">
        <v>307.5</v>
      </c>
      <c r="N55" s="45">
        <v>0.19230769230769232</v>
      </c>
      <c r="O55" s="46" t="s">
        <v>335</v>
      </c>
      <c r="P55" s="46"/>
      <c r="Q55" s="46" t="s">
        <v>335</v>
      </c>
      <c r="R55" s="46" t="s">
        <v>335</v>
      </c>
      <c r="S55" s="113" t="s">
        <v>482</v>
      </c>
      <c r="T55" s="116" t="s">
        <v>573</v>
      </c>
      <c r="U55" s="113" t="s">
        <v>0</v>
      </c>
      <c r="V55" s="113"/>
    </row>
    <row r="56" spans="1:22" ht="15" customHeight="1">
      <c r="A56" s="38" t="s">
        <v>564</v>
      </c>
      <c r="B56" s="39">
        <v>138</v>
      </c>
      <c r="C56" s="49" t="s">
        <v>74</v>
      </c>
      <c r="D56" s="38" t="s">
        <v>597</v>
      </c>
      <c r="E56" s="40">
        <v>10.25</v>
      </c>
      <c r="F56" s="40">
        <v>3.65</v>
      </c>
      <c r="G56" s="40">
        <v>2.38</v>
      </c>
      <c r="H56" s="40">
        <v>0.19</v>
      </c>
      <c r="I56" s="41">
        <v>5.1528790509259258E-2</v>
      </c>
      <c r="J56" s="38" t="s">
        <v>565</v>
      </c>
      <c r="K56" s="256">
        <v>1715</v>
      </c>
      <c r="L56" s="43">
        <v>13720.000000000002</v>
      </c>
      <c r="M56" s="44">
        <v>263.84615384615387</v>
      </c>
      <c r="N56" s="45">
        <v>0.15384615384615385</v>
      </c>
      <c r="O56" s="46" t="s">
        <v>335</v>
      </c>
      <c r="P56" s="46" t="s">
        <v>335</v>
      </c>
      <c r="Q56" s="46" t="s">
        <v>335</v>
      </c>
      <c r="R56" s="46" t="s">
        <v>335</v>
      </c>
      <c r="S56" s="113" t="s">
        <v>207</v>
      </c>
      <c r="T56" s="116" t="s">
        <v>579</v>
      </c>
      <c r="U56" s="113" t="s">
        <v>0</v>
      </c>
      <c r="V56" s="113"/>
    </row>
    <row r="57" spans="1:22" ht="15" customHeight="1">
      <c r="A57" s="38" t="s">
        <v>564</v>
      </c>
      <c r="B57" s="39">
        <v>79</v>
      </c>
      <c r="C57" s="40" t="s">
        <v>117</v>
      </c>
      <c r="D57" s="38" t="s">
        <v>301</v>
      </c>
      <c r="E57" s="40">
        <v>5.7</v>
      </c>
      <c r="F57" s="40">
        <v>3.65</v>
      </c>
      <c r="G57" s="40">
        <v>1</v>
      </c>
      <c r="H57" s="40">
        <v>0.1</v>
      </c>
      <c r="I57" s="41">
        <v>1.2039930555555555E-2</v>
      </c>
      <c r="J57" s="38" t="s">
        <v>565</v>
      </c>
      <c r="K57" s="256">
        <v>1503</v>
      </c>
      <c r="L57" s="43">
        <v>12024.000000000002</v>
      </c>
      <c r="M57" s="44">
        <v>231.23076923076925</v>
      </c>
      <c r="N57" s="45">
        <v>0.15384615384615385</v>
      </c>
      <c r="O57" s="46" t="s">
        <v>335</v>
      </c>
      <c r="P57" s="46"/>
      <c r="Q57" s="46"/>
      <c r="R57" s="46" t="s">
        <v>335</v>
      </c>
      <c r="S57" s="113" t="s">
        <v>300</v>
      </c>
      <c r="T57" s="116" t="s">
        <v>566</v>
      </c>
      <c r="U57" s="113" t="s">
        <v>70</v>
      </c>
      <c r="V57" s="113"/>
    </row>
    <row r="58" spans="1:22" ht="15" customHeight="1">
      <c r="A58" s="38" t="s">
        <v>564</v>
      </c>
      <c r="B58" s="39">
        <v>84</v>
      </c>
      <c r="C58" s="40" t="s">
        <v>168</v>
      </c>
      <c r="D58" s="38" t="s">
        <v>598</v>
      </c>
      <c r="E58" s="40">
        <v>10.25</v>
      </c>
      <c r="F58" s="40">
        <v>3.65</v>
      </c>
      <c r="G58" s="40">
        <v>2.38</v>
      </c>
      <c r="H58" s="40" t="s">
        <v>327</v>
      </c>
      <c r="I58" s="41" t="s">
        <v>327</v>
      </c>
      <c r="J58" s="38" t="s">
        <v>565</v>
      </c>
      <c r="K58" s="256">
        <v>1503</v>
      </c>
      <c r="L58" s="43">
        <v>12024.000000000002</v>
      </c>
      <c r="M58" s="44">
        <v>231.23076923076925</v>
      </c>
      <c r="N58" s="45">
        <v>0.15384615384615385</v>
      </c>
      <c r="O58" s="46" t="s">
        <v>335</v>
      </c>
      <c r="P58" s="46"/>
      <c r="Q58" s="46"/>
      <c r="R58" s="46" t="s">
        <v>335</v>
      </c>
      <c r="S58" s="113" t="s">
        <v>446</v>
      </c>
      <c r="T58" s="116" t="s">
        <v>599</v>
      </c>
      <c r="U58" s="113" t="s">
        <v>0</v>
      </c>
      <c r="V58" s="113"/>
    </row>
    <row r="59" spans="1:22" ht="15" customHeight="1">
      <c r="A59" s="38" t="s">
        <v>564</v>
      </c>
      <c r="B59" s="39">
        <v>135</v>
      </c>
      <c r="C59" s="40" t="s">
        <v>81</v>
      </c>
      <c r="D59" s="38" t="s">
        <v>213</v>
      </c>
      <c r="E59" s="40">
        <v>5.7</v>
      </c>
      <c r="F59" s="40">
        <v>3.65</v>
      </c>
      <c r="G59" s="40">
        <v>1.5</v>
      </c>
      <c r="H59" s="40">
        <v>7.0000000000000007E-2</v>
      </c>
      <c r="I59" s="41">
        <v>1.8059895833333332E-2</v>
      </c>
      <c r="J59" s="38" t="s">
        <v>565</v>
      </c>
      <c r="K59" s="256">
        <v>1715</v>
      </c>
      <c r="L59" s="43">
        <v>17150</v>
      </c>
      <c r="M59" s="44">
        <v>329.80769230769232</v>
      </c>
      <c r="N59" s="45">
        <v>0.19230769230769232</v>
      </c>
      <c r="O59" s="46" t="s">
        <v>335</v>
      </c>
      <c r="P59" s="46" t="s">
        <v>335</v>
      </c>
      <c r="Q59" s="46" t="s">
        <v>335</v>
      </c>
      <c r="R59" s="46" t="s">
        <v>335</v>
      </c>
      <c r="S59" s="113" t="s">
        <v>212</v>
      </c>
      <c r="T59" s="116" t="s">
        <v>575</v>
      </c>
      <c r="U59" s="113" t="s">
        <v>0</v>
      </c>
      <c r="V59" s="113"/>
    </row>
    <row r="60" spans="1:22" ht="15" customHeight="1">
      <c r="A60" s="38" t="s">
        <v>564</v>
      </c>
      <c r="B60" s="39">
        <v>63</v>
      </c>
      <c r="C60" s="40" t="s">
        <v>91</v>
      </c>
      <c r="D60" s="38" t="s">
        <v>238</v>
      </c>
      <c r="E60" s="40">
        <v>8.25</v>
      </c>
      <c r="F60" s="40">
        <v>5</v>
      </c>
      <c r="G60" s="40">
        <v>2.5</v>
      </c>
      <c r="H60" s="40">
        <v>2.1</v>
      </c>
      <c r="I60" s="41">
        <v>5.9678819444444448E-2</v>
      </c>
      <c r="J60" s="42" t="s">
        <v>565</v>
      </c>
      <c r="K60" s="256">
        <v>184</v>
      </c>
      <c r="L60" s="43">
        <v>2208.0000000000005</v>
      </c>
      <c r="M60" s="44">
        <v>42.461538461538467</v>
      </c>
      <c r="N60" s="45">
        <v>0.23076923076923081</v>
      </c>
      <c r="O60" s="46"/>
      <c r="P60" s="46" t="s">
        <v>335</v>
      </c>
      <c r="Q60" s="46"/>
      <c r="R60" s="46" t="s">
        <v>335</v>
      </c>
      <c r="S60" s="113" t="s">
        <v>237</v>
      </c>
      <c r="T60" s="116" t="s">
        <v>600</v>
      </c>
      <c r="U60" s="113" t="s">
        <v>92</v>
      </c>
      <c r="V60" s="113"/>
    </row>
    <row r="61" spans="1:22" ht="15" customHeight="1">
      <c r="A61" s="38" t="s">
        <v>564</v>
      </c>
      <c r="B61" s="39">
        <v>59</v>
      </c>
      <c r="C61" s="40" t="s">
        <v>97</v>
      </c>
      <c r="D61" s="38" t="s">
        <v>601</v>
      </c>
      <c r="E61" s="40">
        <v>7</v>
      </c>
      <c r="F61" s="40">
        <v>4.75</v>
      </c>
      <c r="G61" s="40">
        <v>2.5</v>
      </c>
      <c r="H61" s="40">
        <v>1.4</v>
      </c>
      <c r="I61" s="41">
        <v>4.8104745370370371E-2</v>
      </c>
      <c r="J61" s="38" t="s">
        <v>565</v>
      </c>
      <c r="K61" s="256">
        <v>184</v>
      </c>
      <c r="L61" s="43">
        <v>1104.0000000000002</v>
      </c>
      <c r="M61" s="44">
        <v>21.230769230769234</v>
      </c>
      <c r="N61" s="45">
        <v>0.1153846153846154</v>
      </c>
      <c r="O61" s="46"/>
      <c r="P61" s="46" t="s">
        <v>335</v>
      </c>
      <c r="Q61" s="46"/>
      <c r="R61" s="46" t="s">
        <v>335</v>
      </c>
      <c r="S61" s="113" t="s">
        <v>255</v>
      </c>
      <c r="T61" s="116" t="s">
        <v>602</v>
      </c>
      <c r="U61" s="113" t="s">
        <v>92</v>
      </c>
      <c r="V61" s="113"/>
    </row>
    <row r="62" spans="1:22" ht="15" customHeight="1">
      <c r="A62" s="38" t="s">
        <v>564</v>
      </c>
      <c r="B62" s="39">
        <v>106</v>
      </c>
      <c r="C62" s="40" t="s">
        <v>152</v>
      </c>
      <c r="D62" s="38" t="s">
        <v>398</v>
      </c>
      <c r="E62" s="40">
        <v>12</v>
      </c>
      <c r="F62" s="40">
        <v>6.25</v>
      </c>
      <c r="G62" s="40">
        <v>2.5</v>
      </c>
      <c r="H62" s="40">
        <v>2</v>
      </c>
      <c r="I62" s="41">
        <v>0.10850694444444445</v>
      </c>
      <c r="J62" s="42" t="s">
        <v>572</v>
      </c>
      <c r="K62" s="256">
        <v>184</v>
      </c>
      <c r="L62" s="43">
        <v>920</v>
      </c>
      <c r="M62" s="44">
        <v>17.692307692307693</v>
      </c>
      <c r="N62" s="45">
        <v>9.6153846153846159E-2</v>
      </c>
      <c r="O62" s="46" t="s">
        <v>335</v>
      </c>
      <c r="P62" s="46"/>
      <c r="Q62" s="46" t="s">
        <v>335</v>
      </c>
      <c r="R62" s="46" t="s">
        <v>335</v>
      </c>
      <c r="S62" s="113" t="s">
        <v>397</v>
      </c>
      <c r="T62" s="116" t="s">
        <v>566</v>
      </c>
      <c r="U62" s="113" t="s">
        <v>70</v>
      </c>
      <c r="V62" s="113"/>
    </row>
    <row r="63" spans="1:22" ht="15" customHeight="1">
      <c r="A63" s="38" t="s">
        <v>564</v>
      </c>
      <c r="B63" s="39">
        <v>64</v>
      </c>
      <c r="C63" s="40" t="s">
        <v>99</v>
      </c>
      <c r="D63" s="38" t="s">
        <v>262</v>
      </c>
      <c r="E63" s="40">
        <v>8.25</v>
      </c>
      <c r="F63" s="40">
        <v>5</v>
      </c>
      <c r="G63" s="40">
        <v>2.5</v>
      </c>
      <c r="H63" s="40">
        <v>1.4</v>
      </c>
      <c r="I63" s="41">
        <v>5.9678819444444448E-2</v>
      </c>
      <c r="J63" s="42" t="s">
        <v>565</v>
      </c>
      <c r="K63" s="256">
        <v>184</v>
      </c>
      <c r="L63" s="43">
        <v>2208.0000000000005</v>
      </c>
      <c r="M63" s="44">
        <v>42.461538461538467</v>
      </c>
      <c r="N63" s="45">
        <v>0.23076923076923081</v>
      </c>
      <c r="O63" s="46"/>
      <c r="P63" s="46" t="s">
        <v>335</v>
      </c>
      <c r="Q63" s="46"/>
      <c r="R63" s="46" t="s">
        <v>335</v>
      </c>
      <c r="S63" s="113" t="s">
        <v>261</v>
      </c>
      <c r="T63" s="116" t="s">
        <v>603</v>
      </c>
      <c r="U63" s="113" t="s">
        <v>92</v>
      </c>
      <c r="V63" s="113"/>
    </row>
    <row r="64" spans="1:22" ht="15" customHeight="1">
      <c r="A64" s="38" t="s">
        <v>564</v>
      </c>
      <c r="B64" s="39">
        <v>65</v>
      </c>
      <c r="C64" s="40" t="s">
        <v>101</v>
      </c>
      <c r="D64" s="38" t="s">
        <v>264</v>
      </c>
      <c r="E64" s="40">
        <v>8.25</v>
      </c>
      <c r="F64" s="40">
        <v>5</v>
      </c>
      <c r="G64" s="40">
        <v>2.5</v>
      </c>
      <c r="H64" s="40">
        <v>1.4</v>
      </c>
      <c r="I64" s="41">
        <v>5.9678819444444448E-2</v>
      </c>
      <c r="J64" s="42" t="s">
        <v>565</v>
      </c>
      <c r="K64" s="256">
        <v>184</v>
      </c>
      <c r="L64" s="43">
        <v>1472.0000000000002</v>
      </c>
      <c r="M64" s="44">
        <v>28.307692307692314</v>
      </c>
      <c r="N64" s="45">
        <v>0.15384615384615388</v>
      </c>
      <c r="O64" s="46"/>
      <c r="P64" s="46" t="s">
        <v>335</v>
      </c>
      <c r="Q64" s="46"/>
      <c r="R64" s="46" t="s">
        <v>335</v>
      </c>
      <c r="S64" s="113" t="s">
        <v>263</v>
      </c>
      <c r="T64" s="116" t="s">
        <v>604</v>
      </c>
      <c r="U64" s="113" t="s">
        <v>92</v>
      </c>
      <c r="V64" s="113"/>
    </row>
    <row r="65" spans="1:22" ht="15" customHeight="1">
      <c r="A65" s="38" t="s">
        <v>564</v>
      </c>
      <c r="B65" s="39">
        <v>137</v>
      </c>
      <c r="C65" s="40" t="s">
        <v>193</v>
      </c>
      <c r="D65" s="38" t="s">
        <v>522</v>
      </c>
      <c r="E65" s="40">
        <v>5.7</v>
      </c>
      <c r="F65" s="40">
        <v>3.65</v>
      </c>
      <c r="G65" s="40">
        <v>0.5</v>
      </c>
      <c r="H65" s="40" t="s">
        <v>327</v>
      </c>
      <c r="I65" s="41" t="s">
        <v>327</v>
      </c>
      <c r="J65" s="38" t="s">
        <v>565</v>
      </c>
      <c r="K65" s="256">
        <v>1715</v>
      </c>
      <c r="L65" s="43">
        <v>17150</v>
      </c>
      <c r="M65" s="44">
        <v>329.80769230769232</v>
      </c>
      <c r="N65" s="45">
        <v>0.19230769230769232</v>
      </c>
      <c r="O65" s="46" t="s">
        <v>335</v>
      </c>
      <c r="P65" s="46" t="s">
        <v>335</v>
      </c>
      <c r="Q65" s="46" t="s">
        <v>335</v>
      </c>
      <c r="R65" s="46" t="s">
        <v>335</v>
      </c>
      <c r="S65" s="113" t="s">
        <v>521</v>
      </c>
      <c r="T65" s="116" t="s">
        <v>575</v>
      </c>
      <c r="U65" s="113" t="s">
        <v>70</v>
      </c>
      <c r="V65" s="113"/>
    </row>
    <row r="66" spans="1:22" ht="15" customHeight="1">
      <c r="A66" s="38" t="s">
        <v>564</v>
      </c>
      <c r="B66" s="39">
        <v>99</v>
      </c>
      <c r="C66" s="40" t="s">
        <v>184</v>
      </c>
      <c r="D66" s="38" t="s">
        <v>506</v>
      </c>
      <c r="E66" s="40">
        <v>5.7</v>
      </c>
      <c r="F66" s="40">
        <v>3.65</v>
      </c>
      <c r="G66" s="40">
        <v>3.5</v>
      </c>
      <c r="H66" s="40">
        <v>0.08</v>
      </c>
      <c r="I66" s="41">
        <v>4.213975694444444E-2</v>
      </c>
      <c r="J66" s="38" t="s">
        <v>565</v>
      </c>
      <c r="K66" s="256">
        <v>1599</v>
      </c>
      <c r="L66" s="43">
        <v>7995</v>
      </c>
      <c r="M66" s="44">
        <v>153.75</v>
      </c>
      <c r="N66" s="45">
        <v>9.6153846153846159E-2</v>
      </c>
      <c r="O66" s="46" t="s">
        <v>335</v>
      </c>
      <c r="P66" s="46"/>
      <c r="Q66" s="46" t="s">
        <v>335</v>
      </c>
      <c r="R66" s="46" t="s">
        <v>335</v>
      </c>
      <c r="S66" s="113">
        <v>570</v>
      </c>
      <c r="T66" s="116" t="s">
        <v>575</v>
      </c>
      <c r="U66" s="113" t="s">
        <v>70</v>
      </c>
      <c r="V66" s="113"/>
    </row>
    <row r="67" spans="1:22" ht="15" customHeight="1">
      <c r="A67" s="38" t="s">
        <v>564</v>
      </c>
      <c r="B67" s="39">
        <v>128</v>
      </c>
      <c r="C67" s="49" t="s">
        <v>179</v>
      </c>
      <c r="D67" s="38" t="s">
        <v>498</v>
      </c>
      <c r="E67" s="40">
        <v>5.7</v>
      </c>
      <c r="F67" s="40">
        <v>3.65</v>
      </c>
      <c r="G67" s="40">
        <v>1.25</v>
      </c>
      <c r="H67" s="40">
        <v>0.2</v>
      </c>
      <c r="I67" s="41">
        <v>1.5049913194444445E-2</v>
      </c>
      <c r="J67" s="38" t="s">
        <v>565</v>
      </c>
      <c r="K67" s="256">
        <v>1715</v>
      </c>
      <c r="L67" s="43">
        <v>12005</v>
      </c>
      <c r="M67" s="44">
        <v>230.86538461538461</v>
      </c>
      <c r="N67" s="45">
        <v>0.13461538461538461</v>
      </c>
      <c r="O67" s="46" t="s">
        <v>335</v>
      </c>
      <c r="P67" s="46" t="s">
        <v>335</v>
      </c>
      <c r="Q67" s="46" t="s">
        <v>335</v>
      </c>
      <c r="R67" s="46" t="s">
        <v>335</v>
      </c>
      <c r="S67" s="113" t="s">
        <v>497</v>
      </c>
      <c r="T67" s="116" t="s">
        <v>579</v>
      </c>
      <c r="U67" s="113" t="s">
        <v>0</v>
      </c>
      <c r="V67" s="113"/>
    </row>
    <row r="68" spans="1:22" ht="15" customHeight="1">
      <c r="A68" s="38" t="s">
        <v>564</v>
      </c>
      <c r="B68" s="39">
        <v>134</v>
      </c>
      <c r="C68" s="40" t="s">
        <v>94</v>
      </c>
      <c r="D68" s="38" t="s">
        <v>253</v>
      </c>
      <c r="E68" s="40">
        <v>5.7</v>
      </c>
      <c r="F68" s="40">
        <v>3.65</v>
      </c>
      <c r="G68" s="40">
        <v>0.3</v>
      </c>
      <c r="H68" s="40">
        <v>0.1</v>
      </c>
      <c r="I68" s="41">
        <v>3.6119791666666661E-3</v>
      </c>
      <c r="J68" s="38" t="s">
        <v>565</v>
      </c>
      <c r="K68" s="256">
        <v>1715</v>
      </c>
      <c r="L68" s="43">
        <v>17150</v>
      </c>
      <c r="M68" s="44">
        <v>329.80769230769232</v>
      </c>
      <c r="N68" s="45">
        <v>0.19230769230769232</v>
      </c>
      <c r="O68" s="46" t="s">
        <v>335</v>
      </c>
      <c r="P68" s="46" t="s">
        <v>335</v>
      </c>
      <c r="Q68" s="46" t="s">
        <v>335</v>
      </c>
      <c r="R68" s="46" t="s">
        <v>335</v>
      </c>
      <c r="S68" s="113" t="s">
        <v>252</v>
      </c>
      <c r="T68" s="116" t="s">
        <v>566</v>
      </c>
      <c r="U68" s="113" t="s">
        <v>92</v>
      </c>
      <c r="V68" s="113"/>
    </row>
    <row r="69" spans="1:22" ht="15" customHeight="1">
      <c r="A69" s="38" t="s">
        <v>564</v>
      </c>
      <c r="B69" s="39">
        <v>127</v>
      </c>
      <c r="C69" s="49" t="s">
        <v>167</v>
      </c>
      <c r="D69" s="38" t="s">
        <v>605</v>
      </c>
      <c r="E69" s="40">
        <v>4.375</v>
      </c>
      <c r="F69" s="40">
        <v>3.65</v>
      </c>
      <c r="G69" s="40">
        <v>1.35</v>
      </c>
      <c r="H69" s="40">
        <v>0.03</v>
      </c>
      <c r="I69" s="41">
        <v>1.24755859375E-2</v>
      </c>
      <c r="J69" s="38" t="s">
        <v>565</v>
      </c>
      <c r="K69" s="256">
        <v>1715</v>
      </c>
      <c r="L69" s="43">
        <v>13720.000000000002</v>
      </c>
      <c r="M69" s="44">
        <v>263.84615384615387</v>
      </c>
      <c r="N69" s="45">
        <v>0.15384615384615385</v>
      </c>
      <c r="O69" s="46" t="s">
        <v>335</v>
      </c>
      <c r="P69" s="46" t="s">
        <v>335</v>
      </c>
      <c r="Q69" s="46" t="s">
        <v>335</v>
      </c>
      <c r="R69" s="46" t="s">
        <v>335</v>
      </c>
      <c r="S69" s="113">
        <v>2284</v>
      </c>
      <c r="T69" s="116" t="s">
        <v>579</v>
      </c>
      <c r="U69" s="113" t="s">
        <v>0</v>
      </c>
      <c r="V69" s="113"/>
    </row>
    <row r="70" spans="1:22" ht="15" customHeight="1">
      <c r="A70" s="38" t="s">
        <v>564</v>
      </c>
      <c r="B70" s="39">
        <v>126</v>
      </c>
      <c r="C70" s="49" t="s">
        <v>79</v>
      </c>
      <c r="D70" s="38" t="s">
        <v>606</v>
      </c>
      <c r="E70" s="40">
        <v>4.375</v>
      </c>
      <c r="F70" s="40">
        <v>3.65</v>
      </c>
      <c r="G70" s="40">
        <v>1.38</v>
      </c>
      <c r="H70" s="40">
        <v>0.04</v>
      </c>
      <c r="I70" s="41">
        <v>1.2752821180555554E-2</v>
      </c>
      <c r="J70" s="38" t="s">
        <v>565</v>
      </c>
      <c r="K70" s="256">
        <v>1715</v>
      </c>
      <c r="L70" s="43">
        <v>10290</v>
      </c>
      <c r="M70" s="44">
        <v>197.88461538461539</v>
      </c>
      <c r="N70" s="45">
        <v>0.11538461538461539</v>
      </c>
      <c r="O70" s="46" t="s">
        <v>335</v>
      </c>
      <c r="P70" s="46" t="s">
        <v>335</v>
      </c>
      <c r="Q70" s="46" t="s">
        <v>335</v>
      </c>
      <c r="R70" s="46" t="s">
        <v>335</v>
      </c>
      <c r="S70" s="113" t="s">
        <v>209</v>
      </c>
      <c r="T70" s="116" t="s">
        <v>579</v>
      </c>
      <c r="U70" s="113" t="s">
        <v>0</v>
      </c>
      <c r="V70" s="113"/>
    </row>
    <row r="71" spans="1:22" ht="15" customHeight="1">
      <c r="A71" s="38" t="s">
        <v>564</v>
      </c>
      <c r="B71" s="39">
        <v>80</v>
      </c>
      <c r="C71" s="40" t="s">
        <v>169</v>
      </c>
      <c r="D71" s="38" t="s">
        <v>607</v>
      </c>
      <c r="E71" s="40">
        <v>4.375</v>
      </c>
      <c r="F71" s="40">
        <v>3.65</v>
      </c>
      <c r="G71" s="40">
        <v>1.35</v>
      </c>
      <c r="H71" s="40">
        <v>0.03</v>
      </c>
      <c r="I71" s="41">
        <v>1.24755859375E-2</v>
      </c>
      <c r="J71" s="38" t="s">
        <v>565</v>
      </c>
      <c r="K71" s="256">
        <v>1503</v>
      </c>
      <c r="L71" s="43">
        <v>9018</v>
      </c>
      <c r="M71" s="44">
        <v>173.42307692307693</v>
      </c>
      <c r="N71" s="45">
        <v>0.11538461538461539</v>
      </c>
      <c r="O71" s="46" t="s">
        <v>335</v>
      </c>
      <c r="P71" s="46"/>
      <c r="Q71" s="46"/>
      <c r="R71" s="46" t="s">
        <v>335</v>
      </c>
      <c r="S71" s="113" t="s">
        <v>448</v>
      </c>
      <c r="T71" s="116" t="s">
        <v>608</v>
      </c>
      <c r="U71" s="113" t="s">
        <v>0</v>
      </c>
      <c r="V71" s="113"/>
    </row>
    <row r="72" spans="1:22" ht="15" customHeight="1">
      <c r="A72" s="38" t="s">
        <v>564</v>
      </c>
      <c r="B72" s="39">
        <v>78</v>
      </c>
      <c r="C72" s="40" t="s">
        <v>329</v>
      </c>
      <c r="D72" s="38" t="s">
        <v>609</v>
      </c>
      <c r="E72" s="40">
        <v>6.5</v>
      </c>
      <c r="F72" s="40">
        <v>6.25</v>
      </c>
      <c r="G72" s="40">
        <v>4.5</v>
      </c>
      <c r="H72" s="40">
        <v>1.5</v>
      </c>
      <c r="I72" s="41">
        <v>0.10579427083333333</v>
      </c>
      <c r="J72" s="38" t="s">
        <v>572</v>
      </c>
      <c r="K72" s="256">
        <v>68</v>
      </c>
      <c r="L72" s="43">
        <v>408</v>
      </c>
      <c r="M72" s="44">
        <v>7.8461538461538458</v>
      </c>
      <c r="N72" s="45">
        <v>0.11538461538461538</v>
      </c>
      <c r="O72" s="46"/>
      <c r="P72" s="46"/>
      <c r="Q72" s="46"/>
      <c r="R72" s="46" t="s">
        <v>335</v>
      </c>
      <c r="S72" s="113" t="s">
        <v>328</v>
      </c>
      <c r="T72" s="116" t="s">
        <v>573</v>
      </c>
      <c r="U72" s="113" t="s">
        <v>0</v>
      </c>
      <c r="V72" s="113"/>
    </row>
    <row r="73" spans="1:22" ht="15" customHeight="1">
      <c r="A73" s="38" t="s">
        <v>564</v>
      </c>
      <c r="B73" s="39">
        <v>68</v>
      </c>
      <c r="C73" s="40" t="s">
        <v>118</v>
      </c>
      <c r="D73" s="38" t="s">
        <v>303</v>
      </c>
      <c r="E73" s="40">
        <v>5.7</v>
      </c>
      <c r="F73" s="40">
        <v>3.65</v>
      </c>
      <c r="G73" s="40">
        <v>1.77</v>
      </c>
      <c r="H73" s="40">
        <v>0.18</v>
      </c>
      <c r="I73" s="41">
        <v>2.1310677083333333E-2</v>
      </c>
      <c r="J73" s="38" t="s">
        <v>565</v>
      </c>
      <c r="K73" s="256">
        <v>184</v>
      </c>
      <c r="L73" s="43">
        <v>920</v>
      </c>
      <c r="M73" s="44">
        <v>17.692307692307693</v>
      </c>
      <c r="N73" s="45">
        <v>9.6153846153846159E-2</v>
      </c>
      <c r="O73" s="46"/>
      <c r="P73" s="46" t="s">
        <v>335</v>
      </c>
      <c r="Q73" s="46"/>
      <c r="R73" s="46" t="s">
        <v>335</v>
      </c>
      <c r="S73" s="113" t="s">
        <v>302</v>
      </c>
      <c r="T73" s="116" t="s">
        <v>575</v>
      </c>
      <c r="U73" s="113" t="s">
        <v>92</v>
      </c>
      <c r="V73" s="113"/>
    </row>
    <row r="74" spans="1:22" ht="15" customHeight="1">
      <c r="A74" s="38" t="s">
        <v>564</v>
      </c>
      <c r="B74" s="39">
        <v>62</v>
      </c>
      <c r="C74" s="40" t="s">
        <v>160</v>
      </c>
      <c r="D74" s="38" t="s">
        <v>415</v>
      </c>
      <c r="E74" s="40">
        <v>5.7</v>
      </c>
      <c r="F74" s="40">
        <v>3.65</v>
      </c>
      <c r="G74" s="40">
        <v>1.5</v>
      </c>
      <c r="H74" s="40">
        <v>0.4</v>
      </c>
      <c r="I74" s="41">
        <v>1.8059895833333332E-2</v>
      </c>
      <c r="J74" s="38" t="s">
        <v>565</v>
      </c>
      <c r="K74" s="256">
        <v>184</v>
      </c>
      <c r="L74" s="43">
        <v>920</v>
      </c>
      <c r="M74" s="44">
        <v>17.692307692307693</v>
      </c>
      <c r="N74" s="45">
        <v>9.6153846153846159E-2</v>
      </c>
      <c r="O74" s="46"/>
      <c r="P74" s="46" t="s">
        <v>335</v>
      </c>
      <c r="Q74" s="46"/>
      <c r="R74" s="46" t="s">
        <v>335</v>
      </c>
      <c r="S74" s="113" t="s">
        <v>414</v>
      </c>
      <c r="T74" s="116" t="s">
        <v>575</v>
      </c>
      <c r="U74" s="113" t="s">
        <v>0</v>
      </c>
      <c r="V74" s="113"/>
    </row>
    <row r="75" spans="1:22" ht="15" customHeight="1">
      <c r="A75" s="38" t="s">
        <v>564</v>
      </c>
      <c r="B75" s="39">
        <v>74</v>
      </c>
      <c r="C75" s="40" t="s">
        <v>319</v>
      </c>
      <c r="D75" s="38" t="s">
        <v>610</v>
      </c>
      <c r="E75" s="40">
        <v>13.75</v>
      </c>
      <c r="F75" s="40">
        <v>3.625</v>
      </c>
      <c r="G75" s="40">
        <v>1.25</v>
      </c>
      <c r="H75" s="40">
        <v>0.1</v>
      </c>
      <c r="I75" s="41">
        <v>3.6055953414351853E-2</v>
      </c>
      <c r="J75" s="38" t="s">
        <v>565</v>
      </c>
      <c r="K75" s="256">
        <v>280</v>
      </c>
      <c r="L75" s="43">
        <v>2800</v>
      </c>
      <c r="M75" s="44">
        <v>53.846153846153847</v>
      </c>
      <c r="N75" s="45">
        <v>0.19230769230769232</v>
      </c>
      <c r="O75" s="46"/>
      <c r="P75" s="46" t="s">
        <v>335</v>
      </c>
      <c r="Q75" s="46" t="s">
        <v>335</v>
      </c>
      <c r="R75" s="46" t="s">
        <v>335</v>
      </c>
      <c r="S75" s="113" t="s">
        <v>318</v>
      </c>
      <c r="T75" s="116" t="s">
        <v>566</v>
      </c>
      <c r="U75" s="113" t="s">
        <v>0</v>
      </c>
      <c r="V75" s="113"/>
    </row>
    <row r="76" spans="1:22" ht="15" customHeight="1">
      <c r="A76" s="38" t="s">
        <v>564</v>
      </c>
      <c r="B76" s="39">
        <v>66</v>
      </c>
      <c r="C76" s="40" t="s">
        <v>129</v>
      </c>
      <c r="D76" s="38" t="s">
        <v>339</v>
      </c>
      <c r="E76" s="40">
        <v>5.7</v>
      </c>
      <c r="F76" s="40">
        <v>3.65</v>
      </c>
      <c r="G76" s="40">
        <v>1</v>
      </c>
      <c r="H76" s="40">
        <v>0.22</v>
      </c>
      <c r="I76" s="41">
        <v>1.2039930555555555E-2</v>
      </c>
      <c r="J76" s="38" t="s">
        <v>565</v>
      </c>
      <c r="K76" s="256">
        <v>184</v>
      </c>
      <c r="L76" s="43">
        <v>1104.0000000000002</v>
      </c>
      <c r="M76" s="44">
        <v>21.230769230769234</v>
      </c>
      <c r="N76" s="45">
        <v>0.1153846153846154</v>
      </c>
      <c r="O76" s="46"/>
      <c r="P76" s="46" t="s">
        <v>335</v>
      </c>
      <c r="Q76" s="46"/>
      <c r="R76" s="46" t="s">
        <v>335</v>
      </c>
      <c r="S76" s="113" t="s">
        <v>338</v>
      </c>
      <c r="T76" s="116" t="s">
        <v>566</v>
      </c>
      <c r="U76" s="113" t="s">
        <v>0</v>
      </c>
      <c r="V76" s="113"/>
    </row>
    <row r="77" spans="1:22" ht="15" customHeight="1">
      <c r="A77" s="38" t="s">
        <v>564</v>
      </c>
      <c r="B77" s="39">
        <v>70</v>
      </c>
      <c r="C77" s="49" t="s">
        <v>86</v>
      </c>
      <c r="D77" s="38" t="s">
        <v>611</v>
      </c>
      <c r="E77" s="40">
        <v>5.7</v>
      </c>
      <c r="F77" s="40">
        <v>3.65</v>
      </c>
      <c r="G77" s="40">
        <v>3</v>
      </c>
      <c r="H77" s="40">
        <v>0.33</v>
      </c>
      <c r="I77" s="41">
        <v>3.6119791666666665E-2</v>
      </c>
      <c r="J77" s="38" t="s">
        <v>565</v>
      </c>
      <c r="K77" s="256">
        <v>280</v>
      </c>
      <c r="L77" s="43">
        <v>2800</v>
      </c>
      <c r="M77" s="44">
        <v>53.846153846153847</v>
      </c>
      <c r="N77" s="45">
        <v>0.19230769230769232</v>
      </c>
      <c r="O77" s="46" t="s">
        <v>612</v>
      </c>
      <c r="P77" s="46" t="s">
        <v>335</v>
      </c>
      <c r="Q77" s="46" t="s">
        <v>335</v>
      </c>
      <c r="R77" s="46" t="s">
        <v>335</v>
      </c>
      <c r="S77" s="113" t="s">
        <v>218</v>
      </c>
      <c r="T77" s="116" t="s">
        <v>579</v>
      </c>
      <c r="U77" s="113" t="s">
        <v>0</v>
      </c>
      <c r="V77" s="113"/>
    </row>
    <row r="78" spans="1:22" ht="15" customHeight="1">
      <c r="A78" s="38" t="s">
        <v>564</v>
      </c>
      <c r="B78" s="39">
        <v>58</v>
      </c>
      <c r="C78" s="40" t="s">
        <v>109</v>
      </c>
      <c r="D78" s="38" t="s">
        <v>613</v>
      </c>
      <c r="E78" s="40">
        <v>5.7</v>
      </c>
      <c r="F78" s="40">
        <v>3.65</v>
      </c>
      <c r="G78" s="40">
        <v>0.75</v>
      </c>
      <c r="H78" s="40">
        <v>0.28000000000000003</v>
      </c>
      <c r="I78" s="41">
        <v>9.0299479166666662E-3</v>
      </c>
      <c r="J78" s="38" t="s">
        <v>565</v>
      </c>
      <c r="K78" s="256">
        <v>184</v>
      </c>
      <c r="L78" s="43">
        <v>1104.0000000000002</v>
      </c>
      <c r="M78" s="44">
        <v>21.230769230769234</v>
      </c>
      <c r="N78" s="45">
        <v>0.1153846153846154</v>
      </c>
      <c r="O78" s="46"/>
      <c r="P78" s="46" t="s">
        <v>335</v>
      </c>
      <c r="Q78" s="46"/>
      <c r="R78" s="46" t="s">
        <v>335</v>
      </c>
      <c r="S78" s="113" t="s">
        <v>278</v>
      </c>
      <c r="T78" s="116" t="s">
        <v>566</v>
      </c>
      <c r="U78" s="113" t="s">
        <v>92</v>
      </c>
      <c r="V78" s="113"/>
    </row>
    <row r="79" spans="1:22" ht="15" customHeight="1">
      <c r="A79" s="50" t="s">
        <v>564</v>
      </c>
      <c r="B79" s="51">
        <v>123</v>
      </c>
      <c r="C79" s="47" t="s">
        <v>189</v>
      </c>
      <c r="D79" s="50" t="s">
        <v>546</v>
      </c>
      <c r="E79" s="47" t="e">
        <v>#N/A</v>
      </c>
      <c r="F79" s="47" t="e">
        <v>#N/A</v>
      </c>
      <c r="G79" s="47" t="e">
        <v>#N/A</v>
      </c>
      <c r="H79" s="47" t="e">
        <v>#N/A</v>
      </c>
      <c r="I79" s="52" t="e">
        <v>#N/A</v>
      </c>
      <c r="J79" s="50" t="e">
        <v>#N/A</v>
      </c>
      <c r="K79" s="257">
        <v>68</v>
      </c>
      <c r="L79" s="53">
        <v>476</v>
      </c>
      <c r="M79" s="54">
        <v>9.1538461538461533</v>
      </c>
      <c r="N79" s="55">
        <v>0.13461538461538461</v>
      </c>
      <c r="O79" s="56"/>
      <c r="P79" s="56"/>
      <c r="Q79" s="56"/>
      <c r="R79" s="56"/>
      <c r="S79" s="113"/>
      <c r="T79" s="116" t="e">
        <v>#N/A</v>
      </c>
      <c r="U79" s="113" t="e">
        <v>#N/A</v>
      </c>
      <c r="V79" s="114"/>
    </row>
    <row r="80" spans="1:22" ht="15" customHeight="1">
      <c r="A80" s="38" t="s">
        <v>564</v>
      </c>
      <c r="B80" s="39">
        <v>75</v>
      </c>
      <c r="C80" s="40" t="s">
        <v>164</v>
      </c>
      <c r="D80" s="38" t="s">
        <v>440</v>
      </c>
      <c r="E80" s="40">
        <v>5.7</v>
      </c>
      <c r="F80" s="40">
        <v>3.65</v>
      </c>
      <c r="G80" s="40">
        <v>2</v>
      </c>
      <c r="H80" s="40">
        <v>0.2</v>
      </c>
      <c r="I80" s="41">
        <v>2.4079861111111111E-2</v>
      </c>
      <c r="J80" s="38" t="s">
        <v>565</v>
      </c>
      <c r="K80" s="256">
        <v>280</v>
      </c>
      <c r="L80" s="43">
        <v>2240</v>
      </c>
      <c r="M80" s="44">
        <v>43.07692307692308</v>
      </c>
      <c r="N80" s="45">
        <v>0.15384615384615385</v>
      </c>
      <c r="O80" s="46"/>
      <c r="P80" s="46" t="s">
        <v>335</v>
      </c>
      <c r="Q80" s="46" t="s">
        <v>335</v>
      </c>
      <c r="R80" s="46" t="s">
        <v>335</v>
      </c>
      <c r="S80" s="113" t="s">
        <v>439</v>
      </c>
      <c r="T80" s="116" t="s">
        <v>575</v>
      </c>
      <c r="U80" s="113" t="s">
        <v>0</v>
      </c>
      <c r="V80" s="113"/>
    </row>
    <row r="81" spans="1:22" ht="15" customHeight="1">
      <c r="A81" s="38" t="s">
        <v>564</v>
      </c>
      <c r="B81" s="39">
        <v>69</v>
      </c>
      <c r="C81" s="40" t="s">
        <v>162</v>
      </c>
      <c r="D81" s="38" t="s">
        <v>436</v>
      </c>
      <c r="E81" s="40">
        <v>8.25</v>
      </c>
      <c r="F81" s="40">
        <v>5.125</v>
      </c>
      <c r="G81" s="40">
        <v>3</v>
      </c>
      <c r="H81" s="40">
        <v>0.57999999999999996</v>
      </c>
      <c r="I81" s="41">
        <v>7.3404947916666671E-2</v>
      </c>
      <c r="J81" s="38" t="s">
        <v>565</v>
      </c>
      <c r="K81" s="256">
        <v>184</v>
      </c>
      <c r="L81" s="43">
        <v>920</v>
      </c>
      <c r="M81" s="44">
        <v>17.692307692307693</v>
      </c>
      <c r="N81" s="45">
        <v>9.6153846153846159E-2</v>
      </c>
      <c r="O81" s="46"/>
      <c r="P81" s="46" t="s">
        <v>335</v>
      </c>
      <c r="Q81" s="46"/>
      <c r="R81" s="46" t="s">
        <v>335</v>
      </c>
      <c r="S81" s="113" t="s">
        <v>435</v>
      </c>
      <c r="T81" s="116" t="s">
        <v>575</v>
      </c>
      <c r="U81" s="113" t="s">
        <v>0</v>
      </c>
      <c r="V81" s="113"/>
    </row>
    <row r="82" spans="1:22" ht="15" customHeight="1">
      <c r="A82" s="38" t="s">
        <v>564</v>
      </c>
      <c r="B82" s="39">
        <v>72</v>
      </c>
      <c r="C82" s="40" t="s">
        <v>178</v>
      </c>
      <c r="D82" s="38" t="s">
        <v>614</v>
      </c>
      <c r="E82" s="40">
        <v>5.7</v>
      </c>
      <c r="F82" s="40">
        <v>3.65</v>
      </c>
      <c r="G82" s="40">
        <v>1</v>
      </c>
      <c r="H82" s="40">
        <v>0.1</v>
      </c>
      <c r="I82" s="41">
        <v>1.2039930555555555E-2</v>
      </c>
      <c r="J82" s="38" t="s">
        <v>565</v>
      </c>
      <c r="K82" s="256">
        <v>280</v>
      </c>
      <c r="L82" s="43">
        <v>2800</v>
      </c>
      <c r="M82" s="44">
        <v>53.846153846153847</v>
      </c>
      <c r="N82" s="45">
        <v>0.19230769230769232</v>
      </c>
      <c r="O82" s="46"/>
      <c r="P82" s="46" t="s">
        <v>335</v>
      </c>
      <c r="Q82" s="46" t="s">
        <v>335</v>
      </c>
      <c r="R82" s="46" t="s">
        <v>335</v>
      </c>
      <c r="S82" s="113" t="s">
        <v>495</v>
      </c>
      <c r="T82" s="116" t="s">
        <v>615</v>
      </c>
      <c r="U82" s="113" t="s">
        <v>0</v>
      </c>
      <c r="V82" s="113"/>
    </row>
    <row r="83" spans="1:22" ht="15" customHeight="1">
      <c r="A83" s="38" t="s">
        <v>564</v>
      </c>
      <c r="B83" s="39">
        <v>71</v>
      </c>
      <c r="C83" s="40" t="s">
        <v>200</v>
      </c>
      <c r="D83" s="38" t="s">
        <v>616</v>
      </c>
      <c r="E83" s="40">
        <v>5.7</v>
      </c>
      <c r="F83" s="40">
        <v>3.65</v>
      </c>
      <c r="G83" s="40">
        <v>0.3</v>
      </c>
      <c r="H83" s="40">
        <v>1</v>
      </c>
      <c r="I83" s="41">
        <v>3.6119791666666661E-3</v>
      </c>
      <c r="J83" s="38" t="s">
        <v>565</v>
      </c>
      <c r="K83" s="256">
        <v>280</v>
      </c>
      <c r="L83" s="43">
        <v>1960</v>
      </c>
      <c r="M83" s="44">
        <v>37.692307692307693</v>
      </c>
      <c r="N83" s="45">
        <v>0.13461538461538461</v>
      </c>
      <c r="O83" s="46"/>
      <c r="P83" s="46" t="s">
        <v>335</v>
      </c>
      <c r="Q83" s="46" t="s">
        <v>335</v>
      </c>
      <c r="R83" s="46" t="s">
        <v>335</v>
      </c>
      <c r="S83" s="113"/>
      <c r="T83" s="116" t="s">
        <v>617</v>
      </c>
      <c r="U83" s="113" t="s">
        <v>92</v>
      </c>
      <c r="V83" s="113"/>
    </row>
    <row r="84" spans="1:22" ht="15" customHeight="1">
      <c r="A84" s="38" t="s">
        <v>564</v>
      </c>
      <c r="B84" s="39">
        <v>48</v>
      </c>
      <c r="C84" s="40" t="s">
        <v>180</v>
      </c>
      <c r="D84" s="38" t="s">
        <v>500</v>
      </c>
      <c r="E84" s="40">
        <v>8</v>
      </c>
      <c r="F84" s="40">
        <v>8</v>
      </c>
      <c r="G84" s="40">
        <v>2</v>
      </c>
      <c r="H84" s="40">
        <v>0.5</v>
      </c>
      <c r="I84" s="41">
        <v>7.407407407407407E-2</v>
      </c>
      <c r="J84" s="38" t="s">
        <v>572</v>
      </c>
      <c r="K84" s="256">
        <v>1599</v>
      </c>
      <c r="L84" s="43">
        <v>15990</v>
      </c>
      <c r="M84" s="44">
        <v>307.5</v>
      </c>
      <c r="N84" s="45">
        <v>0.19230769230769232</v>
      </c>
      <c r="O84" s="46"/>
      <c r="P84" s="46"/>
      <c r="Q84" s="46"/>
      <c r="R84" s="46" t="s">
        <v>335</v>
      </c>
      <c r="S84" s="113" t="s">
        <v>618</v>
      </c>
      <c r="T84" s="116" t="s">
        <v>573</v>
      </c>
      <c r="U84" s="113" t="s">
        <v>0</v>
      </c>
      <c r="V84" s="113"/>
    </row>
    <row r="85" spans="1:22" ht="15" customHeight="1">
      <c r="A85" s="38" t="s">
        <v>564</v>
      </c>
      <c r="B85" s="39">
        <v>29</v>
      </c>
      <c r="C85" s="40" t="s">
        <v>185</v>
      </c>
      <c r="D85" s="38" t="s">
        <v>508</v>
      </c>
      <c r="E85" s="40">
        <v>4</v>
      </c>
      <c r="F85" s="40">
        <v>6</v>
      </c>
      <c r="G85" s="40">
        <v>11</v>
      </c>
      <c r="H85" s="40">
        <v>1.75</v>
      </c>
      <c r="I85" s="41">
        <v>0.15277777777777779</v>
      </c>
      <c r="J85" s="38" t="s">
        <v>584</v>
      </c>
      <c r="K85" s="256">
        <v>68</v>
      </c>
      <c r="L85" s="43">
        <v>340.00000000000006</v>
      </c>
      <c r="M85" s="44">
        <v>6.5384615384615392</v>
      </c>
      <c r="N85" s="45">
        <v>9.6153846153846159E-2</v>
      </c>
      <c r="O85" s="46"/>
      <c r="P85" s="46"/>
      <c r="Q85" s="46"/>
      <c r="R85" s="46" t="s">
        <v>335</v>
      </c>
      <c r="S85" s="113" t="s">
        <v>507</v>
      </c>
      <c r="T85" s="116" t="s">
        <v>573</v>
      </c>
      <c r="U85" s="113" t="s">
        <v>0</v>
      </c>
      <c r="V85" s="113"/>
    </row>
    <row r="86" spans="1:22" ht="15" customHeight="1">
      <c r="A86" s="38" t="s">
        <v>564</v>
      </c>
      <c r="B86" s="39">
        <v>12</v>
      </c>
      <c r="C86" s="40" t="s">
        <v>516</v>
      </c>
      <c r="D86" s="38" t="s">
        <v>517</v>
      </c>
      <c r="E86" s="40">
        <v>8.5</v>
      </c>
      <c r="F86" s="40">
        <v>8.5</v>
      </c>
      <c r="G86" s="40">
        <v>4.25</v>
      </c>
      <c r="H86" s="40">
        <v>3</v>
      </c>
      <c r="I86" s="41">
        <v>0.17769820601851852</v>
      </c>
      <c r="J86" s="42" t="s">
        <v>565</v>
      </c>
      <c r="K86" s="256">
        <v>68</v>
      </c>
      <c r="L86" s="43">
        <v>340.00000000000006</v>
      </c>
      <c r="M86" s="44">
        <v>6.5384615384615392</v>
      </c>
      <c r="N86" s="45">
        <v>9.6153846153846159E-2</v>
      </c>
      <c r="O86" s="46"/>
      <c r="P86" s="46"/>
      <c r="Q86" s="46"/>
      <c r="R86" s="46" t="s">
        <v>335</v>
      </c>
      <c r="S86" s="113"/>
      <c r="T86" s="116" t="s">
        <v>574</v>
      </c>
      <c r="U86" s="113" t="s">
        <v>92</v>
      </c>
      <c r="V86" s="113"/>
    </row>
    <row r="87" spans="1:22" ht="15" customHeight="1">
      <c r="A87" s="38" t="s">
        <v>564</v>
      </c>
      <c r="B87" s="39">
        <v>38</v>
      </c>
      <c r="C87" s="40" t="s">
        <v>316</v>
      </c>
      <c r="D87" s="38" t="s">
        <v>317</v>
      </c>
      <c r="E87" s="40">
        <v>13.4</v>
      </c>
      <c r="F87" s="40">
        <v>6.4</v>
      </c>
      <c r="G87" s="40">
        <v>3</v>
      </c>
      <c r="H87" s="40">
        <v>0.8</v>
      </c>
      <c r="I87" s="41">
        <v>0.1488888888888889</v>
      </c>
      <c r="J87" s="38" t="s">
        <v>565</v>
      </c>
      <c r="K87" s="256">
        <v>68</v>
      </c>
      <c r="L87" s="43">
        <v>680.00000000000011</v>
      </c>
      <c r="M87" s="44">
        <v>13.076923076923078</v>
      </c>
      <c r="N87" s="45">
        <v>0.19230769230769232</v>
      </c>
      <c r="O87" s="46"/>
      <c r="P87" s="46"/>
      <c r="Q87" s="46"/>
      <c r="R87" s="46" t="s">
        <v>335</v>
      </c>
      <c r="S87" s="113" t="s">
        <v>315</v>
      </c>
      <c r="T87" s="116" t="s">
        <v>575</v>
      </c>
      <c r="U87" s="113" t="s">
        <v>0</v>
      </c>
      <c r="V87" s="113"/>
    </row>
    <row r="88" spans="1:22" ht="15" customHeight="1">
      <c r="A88" s="38" t="s">
        <v>564</v>
      </c>
      <c r="B88" s="39">
        <v>35</v>
      </c>
      <c r="C88" s="40" t="s">
        <v>242</v>
      </c>
      <c r="D88" s="38" t="s">
        <v>243</v>
      </c>
      <c r="E88" s="40">
        <v>8.25</v>
      </c>
      <c r="F88" s="40">
        <v>5</v>
      </c>
      <c r="G88" s="40">
        <v>2.5</v>
      </c>
      <c r="H88" s="40">
        <v>2.1</v>
      </c>
      <c r="I88" s="41">
        <v>5.9678819444444448E-2</v>
      </c>
      <c r="J88" s="42" t="s">
        <v>565</v>
      </c>
      <c r="K88" s="256">
        <v>68</v>
      </c>
      <c r="L88" s="43">
        <v>476</v>
      </c>
      <c r="M88" s="44">
        <v>9.1538461538461533</v>
      </c>
      <c r="N88" s="45">
        <v>0.13461538461538461</v>
      </c>
      <c r="O88" s="46"/>
      <c r="P88" s="46"/>
      <c r="Q88" s="46"/>
      <c r="R88" s="46" t="s">
        <v>335</v>
      </c>
      <c r="S88" s="113" t="s">
        <v>241</v>
      </c>
      <c r="T88" s="116" t="s">
        <v>600</v>
      </c>
      <c r="U88" s="113" t="s">
        <v>92</v>
      </c>
      <c r="V88" s="113"/>
    </row>
    <row r="89" spans="1:22" ht="15" customHeight="1">
      <c r="A89" s="38" t="s">
        <v>564</v>
      </c>
      <c r="B89" s="39">
        <v>39</v>
      </c>
      <c r="C89" s="40" t="s">
        <v>126</v>
      </c>
      <c r="D89" s="38" t="s">
        <v>326</v>
      </c>
      <c r="E89" s="40">
        <v>6.5</v>
      </c>
      <c r="F89" s="40">
        <v>6.25</v>
      </c>
      <c r="G89" s="40">
        <v>4.5</v>
      </c>
      <c r="H89" s="40">
        <v>1</v>
      </c>
      <c r="I89" s="41">
        <v>0.10579427083333333</v>
      </c>
      <c r="J89" s="38" t="s">
        <v>572</v>
      </c>
      <c r="K89" s="256">
        <v>68</v>
      </c>
      <c r="L89" s="43">
        <v>544</v>
      </c>
      <c r="M89" s="44">
        <v>10.461538461538462</v>
      </c>
      <c r="N89" s="45">
        <v>0.15384615384615385</v>
      </c>
      <c r="O89" s="46"/>
      <c r="P89" s="46"/>
      <c r="Q89" s="46"/>
      <c r="R89" s="46" t="s">
        <v>335</v>
      </c>
      <c r="S89" s="113" t="s">
        <v>325</v>
      </c>
      <c r="T89" s="116" t="s">
        <v>573</v>
      </c>
      <c r="U89" s="113" t="s">
        <v>0</v>
      </c>
      <c r="V89" s="113"/>
    </row>
    <row r="90" spans="1:22" ht="15" customHeight="1">
      <c r="A90" s="38" t="s">
        <v>564</v>
      </c>
      <c r="B90" s="39">
        <v>21</v>
      </c>
      <c r="C90" s="40" t="s">
        <v>158</v>
      </c>
      <c r="D90" s="38" t="s">
        <v>619</v>
      </c>
      <c r="E90" s="40">
        <v>5.7</v>
      </c>
      <c r="F90" s="40">
        <v>3.65</v>
      </c>
      <c r="G90" s="40">
        <v>1.5</v>
      </c>
      <c r="H90" s="40">
        <v>0.2</v>
      </c>
      <c r="I90" s="41">
        <v>1.8059895833333332E-2</v>
      </c>
      <c r="J90" s="38" t="s">
        <v>565</v>
      </c>
      <c r="K90" s="256">
        <v>68</v>
      </c>
      <c r="L90" s="43">
        <v>340.00000000000006</v>
      </c>
      <c r="M90" s="44">
        <v>6.5384615384615392</v>
      </c>
      <c r="N90" s="45">
        <v>9.6153846153846159E-2</v>
      </c>
      <c r="O90" s="46"/>
      <c r="P90" s="46"/>
      <c r="Q90" s="46"/>
      <c r="R90" s="46" t="s">
        <v>335</v>
      </c>
      <c r="S90" s="113" t="s">
        <v>410</v>
      </c>
      <c r="T90" s="116" t="s">
        <v>575</v>
      </c>
      <c r="U90" s="113" t="s">
        <v>0</v>
      </c>
      <c r="V90" s="113"/>
    </row>
    <row r="91" spans="1:22" ht="15" customHeight="1">
      <c r="A91" s="38" t="s">
        <v>564</v>
      </c>
      <c r="B91" s="39">
        <v>22</v>
      </c>
      <c r="C91" s="40" t="s">
        <v>159</v>
      </c>
      <c r="D91" s="38" t="s">
        <v>620</v>
      </c>
      <c r="E91" s="40">
        <v>5.7</v>
      </c>
      <c r="F91" s="40">
        <v>3.65</v>
      </c>
      <c r="G91" s="40">
        <v>1.5</v>
      </c>
      <c r="H91" s="40">
        <v>0.2</v>
      </c>
      <c r="I91" s="41">
        <v>1.8059895833333332E-2</v>
      </c>
      <c r="J91" s="38" t="s">
        <v>565</v>
      </c>
      <c r="K91" s="256">
        <v>68</v>
      </c>
      <c r="L91" s="43">
        <v>340.00000000000006</v>
      </c>
      <c r="M91" s="44">
        <v>6.5384615384615392</v>
      </c>
      <c r="N91" s="45">
        <v>9.6153846153846159E-2</v>
      </c>
      <c r="O91" s="46"/>
      <c r="P91" s="46"/>
      <c r="Q91" s="46"/>
      <c r="R91" s="46" t="s">
        <v>335</v>
      </c>
      <c r="S91" s="113" t="s">
        <v>412</v>
      </c>
      <c r="T91" s="116" t="s">
        <v>575</v>
      </c>
      <c r="U91" s="113" t="s">
        <v>0</v>
      </c>
      <c r="V91" s="113"/>
    </row>
    <row r="92" spans="1:22" ht="15" customHeight="1">
      <c r="A92" s="38" t="s">
        <v>564</v>
      </c>
      <c r="B92" s="39">
        <v>49</v>
      </c>
      <c r="C92" s="40" t="s">
        <v>120</v>
      </c>
      <c r="D92" s="38" t="s">
        <v>621</v>
      </c>
      <c r="E92" s="40">
        <v>5.7</v>
      </c>
      <c r="F92" s="40">
        <v>3.65</v>
      </c>
      <c r="G92" s="40">
        <v>2.5</v>
      </c>
      <c r="H92" s="40">
        <v>0.36</v>
      </c>
      <c r="I92" s="41">
        <v>3.009982638888889E-2</v>
      </c>
      <c r="J92" s="38" t="s">
        <v>565</v>
      </c>
      <c r="K92" s="256">
        <v>68</v>
      </c>
      <c r="L92" s="43">
        <v>340.00000000000006</v>
      </c>
      <c r="M92" s="44">
        <v>6.5384615384615392</v>
      </c>
      <c r="N92" s="45">
        <v>9.6153846153846159E-2</v>
      </c>
      <c r="O92" s="46"/>
      <c r="P92" s="46"/>
      <c r="Q92" s="46"/>
      <c r="R92" s="46" t="s">
        <v>335</v>
      </c>
      <c r="S92" s="113" t="s">
        <v>304</v>
      </c>
      <c r="T92" s="116" t="s">
        <v>575</v>
      </c>
      <c r="U92" s="113" t="s">
        <v>0</v>
      </c>
      <c r="V92" s="113"/>
    </row>
    <row r="93" spans="1:22" ht="15" customHeight="1">
      <c r="A93" s="38" t="s">
        <v>564</v>
      </c>
      <c r="B93" s="39">
        <v>23</v>
      </c>
      <c r="C93" s="40" t="s">
        <v>182</v>
      </c>
      <c r="D93" s="38" t="s">
        <v>622</v>
      </c>
      <c r="E93" s="40">
        <v>5.7</v>
      </c>
      <c r="F93" s="40">
        <v>3.65</v>
      </c>
      <c r="G93" s="40">
        <v>1.5</v>
      </c>
      <c r="H93" s="40">
        <v>0.2</v>
      </c>
      <c r="I93" s="41">
        <v>1.8059895833333332E-2</v>
      </c>
      <c r="J93" s="38" t="s">
        <v>565</v>
      </c>
      <c r="K93" s="256">
        <v>68</v>
      </c>
      <c r="L93" s="43">
        <v>340.00000000000006</v>
      </c>
      <c r="M93" s="44">
        <v>6.5384615384615392</v>
      </c>
      <c r="N93" s="45">
        <v>9.6153846153846159E-2</v>
      </c>
      <c r="O93" s="46"/>
      <c r="P93" s="46"/>
      <c r="Q93" s="46"/>
      <c r="R93" s="46" t="s">
        <v>335</v>
      </c>
      <c r="S93" s="113" t="s">
        <v>502</v>
      </c>
      <c r="T93" s="116" t="s">
        <v>575</v>
      </c>
      <c r="U93" s="113" t="s">
        <v>0</v>
      </c>
      <c r="V93" s="113"/>
    </row>
    <row r="94" spans="1:22" ht="15" customHeight="1">
      <c r="A94" s="38" t="s">
        <v>564</v>
      </c>
      <c r="B94" s="39">
        <v>24</v>
      </c>
      <c r="C94" s="40" t="s">
        <v>183</v>
      </c>
      <c r="D94" s="38" t="s">
        <v>623</v>
      </c>
      <c r="E94" s="40">
        <v>5.7</v>
      </c>
      <c r="F94" s="40">
        <v>3.65</v>
      </c>
      <c r="G94" s="40">
        <v>1.5</v>
      </c>
      <c r="H94" s="40">
        <v>0.2</v>
      </c>
      <c r="I94" s="41">
        <v>1.8059895833333332E-2</v>
      </c>
      <c r="J94" s="38" t="s">
        <v>565</v>
      </c>
      <c r="K94" s="256">
        <v>68</v>
      </c>
      <c r="L94" s="43">
        <v>340.00000000000006</v>
      </c>
      <c r="M94" s="44">
        <v>6.5384615384615392</v>
      </c>
      <c r="N94" s="45">
        <v>9.6153846153846159E-2</v>
      </c>
      <c r="O94" s="46"/>
      <c r="P94" s="46"/>
      <c r="Q94" s="46"/>
      <c r="R94" s="46" t="s">
        <v>335</v>
      </c>
      <c r="S94" s="113" t="s">
        <v>504</v>
      </c>
      <c r="T94" s="116" t="s">
        <v>575</v>
      </c>
      <c r="U94" s="113" t="s">
        <v>0</v>
      </c>
      <c r="V94" s="113"/>
    </row>
    <row r="95" spans="1:22" ht="15" customHeight="1">
      <c r="A95" s="38" t="s">
        <v>564</v>
      </c>
      <c r="B95" s="39">
        <v>3</v>
      </c>
      <c r="C95" s="40" t="s">
        <v>457</v>
      </c>
      <c r="D95" s="38" t="s">
        <v>624</v>
      </c>
      <c r="E95" s="40">
        <v>5.7</v>
      </c>
      <c r="F95" s="40">
        <v>3.65</v>
      </c>
      <c r="G95" s="40">
        <v>1.5</v>
      </c>
      <c r="H95" s="40">
        <v>0.3</v>
      </c>
      <c r="I95" s="41">
        <v>1.8059895833333332E-2</v>
      </c>
      <c r="J95" s="38" t="s">
        <v>565</v>
      </c>
      <c r="K95" s="256">
        <v>68</v>
      </c>
      <c r="L95" s="43">
        <v>680.00000000000011</v>
      </c>
      <c r="M95" s="44">
        <v>13.076923076923078</v>
      </c>
      <c r="N95" s="45">
        <v>0.19230769230769232</v>
      </c>
      <c r="O95" s="46"/>
      <c r="P95" s="46"/>
      <c r="Q95" s="46"/>
      <c r="R95" s="46" t="s">
        <v>335</v>
      </c>
      <c r="S95" s="113" t="s">
        <v>456</v>
      </c>
      <c r="T95" s="116" t="s">
        <v>573</v>
      </c>
      <c r="U95" s="113" t="s">
        <v>70</v>
      </c>
      <c r="V95" s="113"/>
    </row>
    <row r="96" spans="1:22" ht="15" customHeight="1">
      <c r="A96" s="38" t="s">
        <v>564</v>
      </c>
      <c r="B96" s="39">
        <v>28</v>
      </c>
      <c r="C96" s="40" t="s">
        <v>134</v>
      </c>
      <c r="D96" s="38" t="s">
        <v>349</v>
      </c>
      <c r="E96" s="40">
        <v>5.7</v>
      </c>
      <c r="F96" s="40">
        <v>3.65</v>
      </c>
      <c r="G96" s="40">
        <v>1.25</v>
      </c>
      <c r="H96" s="40">
        <v>0.21</v>
      </c>
      <c r="I96" s="41">
        <v>1.5049913194444445E-2</v>
      </c>
      <c r="J96" s="38" t="s">
        <v>565</v>
      </c>
      <c r="K96" s="256">
        <v>68</v>
      </c>
      <c r="L96" s="43">
        <v>680.00000000000011</v>
      </c>
      <c r="M96" s="44">
        <v>13.076923076923078</v>
      </c>
      <c r="N96" s="45">
        <v>0.19230769230769232</v>
      </c>
      <c r="O96" s="46"/>
      <c r="P96" s="46"/>
      <c r="Q96" s="46"/>
      <c r="R96" s="46" t="s">
        <v>335</v>
      </c>
      <c r="S96" s="113" t="s">
        <v>348</v>
      </c>
      <c r="T96" s="116" t="s">
        <v>566</v>
      </c>
      <c r="U96" s="113" t="s">
        <v>0</v>
      </c>
      <c r="V96" s="113"/>
    </row>
    <row r="97" spans="1:22" ht="15" customHeight="1">
      <c r="A97" s="38" t="s">
        <v>564</v>
      </c>
      <c r="B97" s="39">
        <v>34</v>
      </c>
      <c r="C97" s="40" t="s">
        <v>133</v>
      </c>
      <c r="D97" s="38" t="s">
        <v>347</v>
      </c>
      <c r="E97" s="40">
        <v>5.7</v>
      </c>
      <c r="F97" s="40">
        <v>3.65</v>
      </c>
      <c r="G97" s="40">
        <v>1.25</v>
      </c>
      <c r="H97" s="40">
        <v>0.19</v>
      </c>
      <c r="I97" s="41">
        <v>1.5049913194444445E-2</v>
      </c>
      <c r="J97" s="38" t="s">
        <v>565</v>
      </c>
      <c r="K97" s="256">
        <v>68</v>
      </c>
      <c r="L97" s="43">
        <v>408</v>
      </c>
      <c r="M97" s="44">
        <v>7.8461538461538458</v>
      </c>
      <c r="N97" s="45">
        <v>0.11538461538461538</v>
      </c>
      <c r="O97" s="46"/>
      <c r="P97" s="46"/>
      <c r="Q97" s="46"/>
      <c r="R97" s="46" t="s">
        <v>335</v>
      </c>
      <c r="S97" s="113" t="s">
        <v>346</v>
      </c>
      <c r="T97" s="116" t="s">
        <v>566</v>
      </c>
      <c r="U97" s="113" t="s">
        <v>0</v>
      </c>
      <c r="V97" s="113"/>
    </row>
    <row r="98" spans="1:22" ht="15" customHeight="1">
      <c r="A98" s="38" t="s">
        <v>564</v>
      </c>
      <c r="B98" s="39">
        <v>50</v>
      </c>
      <c r="C98" s="40" t="s">
        <v>121</v>
      </c>
      <c r="D98" s="38" t="s">
        <v>625</v>
      </c>
      <c r="E98" s="40">
        <v>5.7</v>
      </c>
      <c r="F98" s="40">
        <v>3.65</v>
      </c>
      <c r="G98" s="40">
        <v>1.5</v>
      </c>
      <c r="H98" s="40">
        <v>0.34</v>
      </c>
      <c r="I98" s="41">
        <v>1.8059895833333332E-2</v>
      </c>
      <c r="J98" s="38" t="s">
        <v>565</v>
      </c>
      <c r="K98" s="256">
        <v>68</v>
      </c>
      <c r="L98" s="43">
        <v>340.00000000000006</v>
      </c>
      <c r="M98" s="44">
        <v>6.5384615384615392</v>
      </c>
      <c r="N98" s="45">
        <v>9.6153846153846159E-2</v>
      </c>
      <c r="O98" s="46"/>
      <c r="P98" s="46"/>
      <c r="Q98" s="46"/>
      <c r="R98" s="46" t="s">
        <v>335</v>
      </c>
      <c r="S98" s="113" t="s">
        <v>306</v>
      </c>
      <c r="T98" s="116" t="s">
        <v>575</v>
      </c>
      <c r="U98" s="113" t="s">
        <v>0</v>
      </c>
      <c r="V98" s="113"/>
    </row>
    <row r="99" spans="1:22" ht="15" customHeight="1">
      <c r="A99" s="38" t="s">
        <v>564</v>
      </c>
      <c r="B99" s="39">
        <v>4</v>
      </c>
      <c r="C99" s="40" t="s">
        <v>459</v>
      </c>
      <c r="D99" s="38" t="s">
        <v>626</v>
      </c>
      <c r="E99" s="40">
        <v>5.7</v>
      </c>
      <c r="F99" s="40">
        <v>3.65</v>
      </c>
      <c r="G99" s="40">
        <v>1.5</v>
      </c>
      <c r="H99" s="40">
        <v>0.3</v>
      </c>
      <c r="I99" s="41">
        <v>1.8059895833333332E-2</v>
      </c>
      <c r="J99" s="38" t="s">
        <v>565</v>
      </c>
      <c r="K99" s="256">
        <v>68</v>
      </c>
      <c r="L99" s="43">
        <v>544</v>
      </c>
      <c r="M99" s="44">
        <v>10.461538461538462</v>
      </c>
      <c r="N99" s="45">
        <v>0.15384615384615385</v>
      </c>
      <c r="O99" s="46"/>
      <c r="P99" s="46"/>
      <c r="Q99" s="46"/>
      <c r="R99" s="46" t="s">
        <v>335</v>
      </c>
      <c r="S99" s="113" t="s">
        <v>458</v>
      </c>
      <c r="T99" s="116" t="s">
        <v>573</v>
      </c>
      <c r="U99" s="113" t="s">
        <v>70</v>
      </c>
      <c r="V99" s="113"/>
    </row>
    <row r="100" spans="1:22" ht="15" customHeight="1">
      <c r="A100" s="38" t="s">
        <v>564</v>
      </c>
      <c r="B100" s="39">
        <v>10</v>
      </c>
      <c r="C100" s="40" t="s">
        <v>123</v>
      </c>
      <c r="D100" s="38" t="s">
        <v>314</v>
      </c>
      <c r="E100" s="40">
        <v>7.87</v>
      </c>
      <c r="F100" s="40">
        <v>5</v>
      </c>
      <c r="G100" s="40">
        <v>4.5</v>
      </c>
      <c r="H100" s="40">
        <v>0.6</v>
      </c>
      <c r="I100" s="41">
        <v>0.10247395833333334</v>
      </c>
      <c r="J100" s="38" t="s">
        <v>565</v>
      </c>
      <c r="K100" s="256">
        <v>68</v>
      </c>
      <c r="L100" s="43">
        <v>340.00000000000006</v>
      </c>
      <c r="M100" s="44">
        <v>6.5384615384615392</v>
      </c>
      <c r="N100" s="45">
        <v>9.6153846153846159E-2</v>
      </c>
      <c r="O100" s="46"/>
      <c r="P100" s="46"/>
      <c r="Q100" s="46"/>
      <c r="R100" s="46" t="s">
        <v>335</v>
      </c>
      <c r="S100" s="113">
        <v>2104</v>
      </c>
      <c r="T100" s="116" t="s">
        <v>573</v>
      </c>
      <c r="U100" s="113" t="s">
        <v>0</v>
      </c>
      <c r="V100" s="113"/>
    </row>
    <row r="101" spans="1:22" ht="15" customHeight="1">
      <c r="A101" s="38" t="s">
        <v>564</v>
      </c>
      <c r="B101" s="39">
        <v>20</v>
      </c>
      <c r="C101" s="40" t="s">
        <v>156</v>
      </c>
      <c r="D101" s="38" t="s">
        <v>627</v>
      </c>
      <c r="E101" s="40">
        <v>5.7</v>
      </c>
      <c r="F101" s="40">
        <v>3.65</v>
      </c>
      <c r="G101" s="40">
        <v>1.5</v>
      </c>
      <c r="H101" s="40">
        <v>0.1</v>
      </c>
      <c r="I101" s="41">
        <v>1.8059895833333332E-2</v>
      </c>
      <c r="J101" s="38" t="s">
        <v>565</v>
      </c>
      <c r="K101" s="256">
        <v>68</v>
      </c>
      <c r="L101" s="43">
        <v>340.00000000000006</v>
      </c>
      <c r="M101" s="44">
        <v>6.5384615384615392</v>
      </c>
      <c r="N101" s="45">
        <v>9.6153846153846159E-2</v>
      </c>
      <c r="O101" s="46"/>
      <c r="P101" s="46"/>
      <c r="Q101" s="46"/>
      <c r="R101" s="46" t="s">
        <v>335</v>
      </c>
      <c r="S101" s="113" t="s">
        <v>406</v>
      </c>
      <c r="T101" s="116" t="s">
        <v>575</v>
      </c>
      <c r="U101" s="113" t="s">
        <v>0</v>
      </c>
      <c r="V101" s="113"/>
    </row>
    <row r="102" spans="1:22" ht="15" customHeight="1">
      <c r="A102" s="38" t="s">
        <v>564</v>
      </c>
      <c r="B102" s="39">
        <v>5</v>
      </c>
      <c r="C102" s="40" t="s">
        <v>462</v>
      </c>
      <c r="D102" s="38" t="s">
        <v>628</v>
      </c>
      <c r="E102" s="40">
        <v>5.7</v>
      </c>
      <c r="F102" s="40">
        <v>3.65</v>
      </c>
      <c r="G102" s="40">
        <v>1.5</v>
      </c>
      <c r="H102" s="40">
        <v>0.3</v>
      </c>
      <c r="I102" s="41">
        <v>1.8059895833333332E-2</v>
      </c>
      <c r="J102" s="38" t="s">
        <v>565</v>
      </c>
      <c r="K102" s="256">
        <v>68</v>
      </c>
      <c r="L102" s="43">
        <v>408</v>
      </c>
      <c r="M102" s="44">
        <v>7.8461538461538458</v>
      </c>
      <c r="N102" s="45">
        <v>0.11538461538461538</v>
      </c>
      <c r="O102" s="46"/>
      <c r="P102" s="46"/>
      <c r="Q102" s="46"/>
      <c r="R102" s="46" t="s">
        <v>335</v>
      </c>
      <c r="S102" s="113" t="s">
        <v>461</v>
      </c>
      <c r="T102" s="116" t="s">
        <v>573</v>
      </c>
      <c r="U102" s="113" t="s">
        <v>70</v>
      </c>
      <c r="V102" s="113"/>
    </row>
    <row r="103" spans="1:22" ht="15" customHeight="1">
      <c r="A103" s="38" t="s">
        <v>564</v>
      </c>
      <c r="B103" s="39">
        <v>2</v>
      </c>
      <c r="C103" s="40" t="s">
        <v>454</v>
      </c>
      <c r="D103" s="38" t="s">
        <v>629</v>
      </c>
      <c r="E103" s="40">
        <v>5.7</v>
      </c>
      <c r="F103" s="40">
        <v>3.65</v>
      </c>
      <c r="G103" s="40">
        <v>1.5</v>
      </c>
      <c r="H103" s="40">
        <v>0.3</v>
      </c>
      <c r="I103" s="41">
        <v>1.8059895833333332E-2</v>
      </c>
      <c r="J103" s="38" t="s">
        <v>565</v>
      </c>
      <c r="K103" s="256">
        <v>68</v>
      </c>
      <c r="L103" s="43">
        <v>544</v>
      </c>
      <c r="M103" s="44">
        <v>10.461538461538462</v>
      </c>
      <c r="N103" s="45">
        <v>0.15384615384615385</v>
      </c>
      <c r="O103" s="46"/>
      <c r="P103" s="46"/>
      <c r="Q103" s="46"/>
      <c r="R103" s="46" t="s">
        <v>335</v>
      </c>
      <c r="S103" s="113" t="s">
        <v>453</v>
      </c>
      <c r="T103" s="116" t="s">
        <v>573</v>
      </c>
      <c r="U103" s="113" t="s">
        <v>70</v>
      </c>
      <c r="V103" s="113"/>
    </row>
    <row r="104" spans="1:22" ht="15" customHeight="1">
      <c r="A104" s="38" t="s">
        <v>564</v>
      </c>
      <c r="B104" s="39">
        <v>19</v>
      </c>
      <c r="C104" s="40" t="s">
        <v>130</v>
      </c>
      <c r="D104" s="38" t="s">
        <v>341</v>
      </c>
      <c r="E104" s="40">
        <v>5.7</v>
      </c>
      <c r="F104" s="40">
        <v>3.65</v>
      </c>
      <c r="G104" s="40">
        <v>1</v>
      </c>
      <c r="H104" s="40">
        <v>0.04</v>
      </c>
      <c r="I104" s="41">
        <v>1.2039930555555555E-2</v>
      </c>
      <c r="J104" s="38" t="s">
        <v>565</v>
      </c>
      <c r="K104" s="256">
        <v>68</v>
      </c>
      <c r="L104" s="43">
        <v>340.00000000000006</v>
      </c>
      <c r="M104" s="44">
        <v>6.5384615384615392</v>
      </c>
      <c r="N104" s="45">
        <v>9.6153846153846159E-2</v>
      </c>
      <c r="O104" s="46"/>
      <c r="P104" s="46"/>
      <c r="Q104" s="46"/>
      <c r="R104" s="46" t="s">
        <v>335</v>
      </c>
      <c r="S104" s="113" t="s">
        <v>340</v>
      </c>
      <c r="T104" s="116" t="s">
        <v>573</v>
      </c>
      <c r="U104" s="113" t="s">
        <v>0</v>
      </c>
      <c r="V104" s="113"/>
    </row>
    <row r="105" spans="1:22" ht="15" customHeight="1">
      <c r="A105" s="38" t="s">
        <v>564</v>
      </c>
      <c r="B105" s="39">
        <v>1</v>
      </c>
      <c r="C105" s="40" t="s">
        <v>451</v>
      </c>
      <c r="D105" s="38" t="s">
        <v>630</v>
      </c>
      <c r="E105" s="40">
        <v>5.7</v>
      </c>
      <c r="F105" s="40">
        <v>3.65</v>
      </c>
      <c r="G105" s="40">
        <v>1.5</v>
      </c>
      <c r="H105" s="40">
        <v>0.3</v>
      </c>
      <c r="I105" s="41">
        <v>1.8059895833333332E-2</v>
      </c>
      <c r="J105" s="38" t="s">
        <v>565</v>
      </c>
      <c r="K105" s="256">
        <v>68</v>
      </c>
      <c r="L105" s="43">
        <v>408</v>
      </c>
      <c r="M105" s="44">
        <v>7.8461538461538458</v>
      </c>
      <c r="N105" s="45">
        <v>0.11538461538461538</v>
      </c>
      <c r="O105" s="46"/>
      <c r="P105" s="46"/>
      <c r="Q105" s="46"/>
      <c r="R105" s="46" t="s">
        <v>335</v>
      </c>
      <c r="S105" s="113" t="s">
        <v>450</v>
      </c>
      <c r="T105" s="116" t="s">
        <v>573</v>
      </c>
      <c r="U105" s="113" t="s">
        <v>70</v>
      </c>
      <c r="V105" s="113"/>
    </row>
    <row r="106" spans="1:22" ht="15" customHeight="1">
      <c r="A106" s="38" t="s">
        <v>564</v>
      </c>
      <c r="B106" s="39">
        <v>25</v>
      </c>
      <c r="C106" s="40" t="s">
        <v>188</v>
      </c>
      <c r="D106" s="38" t="s">
        <v>512</v>
      </c>
      <c r="E106" s="40">
        <v>5.7</v>
      </c>
      <c r="F106" s="40">
        <v>3.65</v>
      </c>
      <c r="G106" s="40">
        <v>2</v>
      </c>
      <c r="H106" s="40">
        <v>0.1</v>
      </c>
      <c r="I106" s="41">
        <v>2.4079861111111111E-2</v>
      </c>
      <c r="J106" s="38" t="s">
        <v>565</v>
      </c>
      <c r="K106" s="256">
        <v>68</v>
      </c>
      <c r="L106" s="43">
        <v>340.00000000000006</v>
      </c>
      <c r="M106" s="44">
        <v>6.5384615384615392</v>
      </c>
      <c r="N106" s="45">
        <v>9.6153846153846159E-2</v>
      </c>
      <c r="O106" s="46"/>
      <c r="P106" s="46"/>
      <c r="Q106" s="46"/>
      <c r="R106" s="46" t="s">
        <v>335</v>
      </c>
      <c r="S106" s="113"/>
      <c r="T106" s="116" t="s">
        <v>615</v>
      </c>
      <c r="U106" s="113" t="s">
        <v>0</v>
      </c>
      <c r="V106" s="113"/>
    </row>
    <row r="107" spans="1:22" ht="15" customHeight="1">
      <c r="A107" s="38" t="s">
        <v>564</v>
      </c>
      <c r="B107" s="39">
        <v>17</v>
      </c>
      <c r="C107" s="40" t="s">
        <v>146</v>
      </c>
      <c r="D107" s="38" t="s">
        <v>631</v>
      </c>
      <c r="E107" s="40">
        <v>5.7</v>
      </c>
      <c r="F107" s="40">
        <v>3.65</v>
      </c>
      <c r="G107" s="40">
        <v>3</v>
      </c>
      <c r="H107" s="40">
        <v>0.2</v>
      </c>
      <c r="I107" s="41">
        <v>3.6119791666666665E-2</v>
      </c>
      <c r="J107" s="38" t="s">
        <v>565</v>
      </c>
      <c r="K107" s="256">
        <v>68</v>
      </c>
      <c r="L107" s="43">
        <v>340.00000000000006</v>
      </c>
      <c r="M107" s="44">
        <v>6.5384615384615392</v>
      </c>
      <c r="N107" s="45">
        <v>9.6153846153846159E-2</v>
      </c>
      <c r="O107" s="46"/>
      <c r="P107" s="46"/>
      <c r="Q107" s="46"/>
      <c r="R107" s="46" t="s">
        <v>335</v>
      </c>
      <c r="S107" s="113" t="s">
        <v>384</v>
      </c>
      <c r="T107" s="116" t="s">
        <v>632</v>
      </c>
      <c r="U107" s="113" t="s">
        <v>0</v>
      </c>
      <c r="V107" s="113"/>
    </row>
    <row r="108" spans="1:22" ht="15" customHeight="1">
      <c r="A108" s="38" t="s">
        <v>564</v>
      </c>
      <c r="B108" s="39">
        <v>26</v>
      </c>
      <c r="C108" s="40" t="s">
        <v>196</v>
      </c>
      <c r="D108" s="38" t="s">
        <v>525</v>
      </c>
      <c r="E108" s="40">
        <v>5.7</v>
      </c>
      <c r="F108" s="40">
        <v>3.65</v>
      </c>
      <c r="G108" s="40">
        <v>2</v>
      </c>
      <c r="H108" s="40">
        <v>0.1</v>
      </c>
      <c r="I108" s="41">
        <v>2.4079861111111111E-2</v>
      </c>
      <c r="J108" s="38" t="s">
        <v>565</v>
      </c>
      <c r="K108" s="256">
        <v>68</v>
      </c>
      <c r="L108" s="43">
        <v>340.00000000000006</v>
      </c>
      <c r="M108" s="44">
        <v>6.5384615384615392</v>
      </c>
      <c r="N108" s="45">
        <v>9.6153846153846159E-2</v>
      </c>
      <c r="O108" s="46"/>
      <c r="P108" s="46"/>
      <c r="Q108" s="46"/>
      <c r="R108" s="46" t="s">
        <v>335</v>
      </c>
      <c r="S108" s="113" t="s">
        <v>524</v>
      </c>
      <c r="T108" s="116" t="s">
        <v>575</v>
      </c>
      <c r="U108" s="113" t="s">
        <v>70</v>
      </c>
      <c r="V108" s="113"/>
    </row>
    <row r="109" spans="1:22" ht="15" customHeight="1">
      <c r="A109" s="38" t="s">
        <v>564</v>
      </c>
      <c r="B109" s="39">
        <v>7</v>
      </c>
      <c r="C109" s="40" t="s">
        <v>468</v>
      </c>
      <c r="D109" s="38" t="s">
        <v>633</v>
      </c>
      <c r="E109" s="40">
        <v>5.7</v>
      </c>
      <c r="F109" s="40">
        <v>3.65</v>
      </c>
      <c r="G109" s="40">
        <v>0.5</v>
      </c>
      <c r="H109" s="40">
        <v>0.1</v>
      </c>
      <c r="I109" s="41">
        <v>6.0199652777777777E-3</v>
      </c>
      <c r="J109" s="38" t="s">
        <v>565</v>
      </c>
      <c r="K109" s="256">
        <v>68</v>
      </c>
      <c r="L109" s="43">
        <v>680.00000000000011</v>
      </c>
      <c r="M109" s="44">
        <v>13.076923076923078</v>
      </c>
      <c r="N109" s="45">
        <v>0.19230769230769232</v>
      </c>
      <c r="O109" s="46"/>
      <c r="P109" s="46"/>
      <c r="Q109" s="46"/>
      <c r="R109" s="46" t="s">
        <v>335</v>
      </c>
      <c r="S109" s="113" t="s">
        <v>467</v>
      </c>
      <c r="T109" s="116" t="s">
        <v>573</v>
      </c>
      <c r="U109" s="113" t="s">
        <v>70</v>
      </c>
      <c r="V109" s="113"/>
    </row>
    <row r="110" spans="1:22" ht="15" customHeight="1">
      <c r="A110" s="38" t="s">
        <v>564</v>
      </c>
      <c r="B110" s="39">
        <v>27</v>
      </c>
      <c r="C110" s="40" t="s">
        <v>198</v>
      </c>
      <c r="D110" s="38" t="s">
        <v>527</v>
      </c>
      <c r="E110" s="40">
        <v>5.7</v>
      </c>
      <c r="F110" s="40">
        <v>3.65</v>
      </c>
      <c r="G110" s="40">
        <v>0.75</v>
      </c>
      <c r="H110" s="40">
        <v>7.0000000000000007E-2</v>
      </c>
      <c r="I110" s="41">
        <v>9.0299479166666662E-3</v>
      </c>
      <c r="J110" s="38" t="s">
        <v>565</v>
      </c>
      <c r="K110" s="256">
        <v>68</v>
      </c>
      <c r="L110" s="43">
        <v>340.00000000000006</v>
      </c>
      <c r="M110" s="44">
        <v>6.5384615384615392</v>
      </c>
      <c r="N110" s="45">
        <v>9.6153846153846159E-2</v>
      </c>
      <c r="O110" s="46"/>
      <c r="P110" s="46"/>
      <c r="Q110" s="46"/>
      <c r="R110" s="46" t="s">
        <v>335</v>
      </c>
      <c r="S110" s="113" t="s">
        <v>526</v>
      </c>
      <c r="T110" s="116" t="s">
        <v>575</v>
      </c>
      <c r="U110" s="113" t="s">
        <v>92</v>
      </c>
      <c r="V110" s="113"/>
    </row>
    <row r="111" spans="1:22" ht="15" customHeight="1">
      <c r="A111" s="38" t="s">
        <v>564</v>
      </c>
      <c r="B111" s="39">
        <v>8</v>
      </c>
      <c r="C111" s="40" t="s">
        <v>471</v>
      </c>
      <c r="D111" s="38" t="s">
        <v>634</v>
      </c>
      <c r="E111" s="40">
        <v>5.7</v>
      </c>
      <c r="F111" s="40">
        <v>3.65</v>
      </c>
      <c r="G111" s="40">
        <v>0.5</v>
      </c>
      <c r="H111" s="40">
        <v>0.1</v>
      </c>
      <c r="I111" s="41">
        <v>6.0199652777777777E-3</v>
      </c>
      <c r="J111" s="38" t="s">
        <v>565</v>
      </c>
      <c r="K111" s="256">
        <v>68</v>
      </c>
      <c r="L111" s="43">
        <v>476</v>
      </c>
      <c r="M111" s="44">
        <v>9.1538461538461533</v>
      </c>
      <c r="N111" s="45">
        <v>0.13461538461538461</v>
      </c>
      <c r="O111" s="46"/>
      <c r="P111" s="46"/>
      <c r="Q111" s="46"/>
      <c r="R111" s="46" t="s">
        <v>335</v>
      </c>
      <c r="S111" s="113" t="s">
        <v>470</v>
      </c>
      <c r="T111" s="116" t="s">
        <v>573</v>
      </c>
      <c r="U111" s="113" t="s">
        <v>70</v>
      </c>
      <c r="V111" s="113"/>
    </row>
    <row r="112" spans="1:22" ht="15" customHeight="1">
      <c r="A112" s="38" t="s">
        <v>564</v>
      </c>
      <c r="B112" s="39">
        <v>6</v>
      </c>
      <c r="C112" s="40" t="s">
        <v>465</v>
      </c>
      <c r="D112" s="38" t="s">
        <v>635</v>
      </c>
      <c r="E112" s="40">
        <v>5.7</v>
      </c>
      <c r="F112" s="40">
        <v>3.65</v>
      </c>
      <c r="G112" s="40">
        <v>0.5</v>
      </c>
      <c r="H112" s="40">
        <v>0.1</v>
      </c>
      <c r="I112" s="41">
        <v>6.0199652777777777E-3</v>
      </c>
      <c r="J112" s="38" t="s">
        <v>565</v>
      </c>
      <c r="K112" s="256">
        <v>68</v>
      </c>
      <c r="L112" s="43">
        <v>408</v>
      </c>
      <c r="M112" s="44">
        <v>7.8461538461538458</v>
      </c>
      <c r="N112" s="45">
        <v>0.11538461538461538</v>
      </c>
      <c r="O112" s="46"/>
      <c r="P112" s="46"/>
      <c r="Q112" s="46"/>
      <c r="R112" s="46" t="s">
        <v>335</v>
      </c>
      <c r="S112" s="113" t="s">
        <v>464</v>
      </c>
      <c r="T112" s="116" t="s">
        <v>573</v>
      </c>
      <c r="U112" s="113" t="s">
        <v>70</v>
      </c>
      <c r="V112" s="113"/>
    </row>
    <row r="113" spans="1:22" ht="15" customHeight="1">
      <c r="A113" s="38" t="s">
        <v>564</v>
      </c>
      <c r="B113" s="39">
        <v>9</v>
      </c>
      <c r="C113" s="40" t="s">
        <v>474</v>
      </c>
      <c r="D113" s="38" t="s">
        <v>636</v>
      </c>
      <c r="E113" s="40">
        <v>5.7</v>
      </c>
      <c r="F113" s="40">
        <v>3.65</v>
      </c>
      <c r="G113" s="40">
        <v>0.5</v>
      </c>
      <c r="H113" s="40">
        <v>0.1</v>
      </c>
      <c r="I113" s="41">
        <v>6.0199652777777777E-3</v>
      </c>
      <c r="J113" s="38" t="s">
        <v>565</v>
      </c>
      <c r="K113" s="256">
        <v>68</v>
      </c>
      <c r="L113" s="43">
        <v>408</v>
      </c>
      <c r="M113" s="44">
        <v>7.8461538461538458</v>
      </c>
      <c r="N113" s="45">
        <v>0.11538461538461538</v>
      </c>
      <c r="O113" s="46"/>
      <c r="P113" s="46"/>
      <c r="Q113" s="46"/>
      <c r="R113" s="46" t="s">
        <v>335</v>
      </c>
      <c r="S113" s="113" t="s">
        <v>473</v>
      </c>
      <c r="T113" s="116" t="s">
        <v>573</v>
      </c>
      <c r="U113" s="113" t="s">
        <v>70</v>
      </c>
      <c r="V113" s="113"/>
    </row>
    <row r="114" spans="1:22" ht="15" customHeight="1">
      <c r="A114" s="50" t="s">
        <v>564</v>
      </c>
      <c r="B114" s="51">
        <v>54</v>
      </c>
      <c r="C114" s="47" t="s">
        <v>531</v>
      </c>
      <c r="D114" s="50" t="s">
        <v>532</v>
      </c>
      <c r="E114" s="47">
        <v>28</v>
      </c>
      <c r="F114" s="47">
        <v>5</v>
      </c>
      <c r="G114" s="47">
        <v>2</v>
      </c>
      <c r="H114" s="47">
        <v>0.95</v>
      </c>
      <c r="I114" s="52">
        <v>0.16203703703703703</v>
      </c>
      <c r="J114" s="50" t="s">
        <v>637</v>
      </c>
      <c r="K114" s="257">
        <v>68</v>
      </c>
      <c r="L114" s="53">
        <v>408</v>
      </c>
      <c r="M114" s="54">
        <v>7.8461538461538458</v>
      </c>
      <c r="N114" s="55">
        <v>0.11538461538461538</v>
      </c>
      <c r="O114" s="56"/>
      <c r="P114" s="56"/>
      <c r="Q114" s="56"/>
      <c r="R114" s="56"/>
      <c r="S114" s="113"/>
      <c r="T114" s="116" t="e">
        <v>#N/A</v>
      </c>
      <c r="U114" s="113" t="e">
        <v>#N/A</v>
      </c>
      <c r="V114" s="114"/>
    </row>
    <row r="115" spans="1:22" ht="15" customHeight="1">
      <c r="A115" s="50" t="s">
        <v>564</v>
      </c>
      <c r="B115" s="51">
        <v>44</v>
      </c>
      <c r="C115" s="47" t="s">
        <v>283</v>
      </c>
      <c r="D115" s="50" t="s">
        <v>638</v>
      </c>
      <c r="E115" s="47">
        <v>5.7</v>
      </c>
      <c r="F115" s="47">
        <v>3.65</v>
      </c>
      <c r="G115" s="47">
        <v>1</v>
      </c>
      <c r="H115" s="47">
        <v>7.0000000000000007E-2</v>
      </c>
      <c r="I115" s="52">
        <v>1.2039930555555555E-2</v>
      </c>
      <c r="J115" s="50" t="s">
        <v>565</v>
      </c>
      <c r="K115" s="257">
        <v>68</v>
      </c>
      <c r="L115" s="53">
        <v>408</v>
      </c>
      <c r="M115" s="54">
        <v>7.8461538461538458</v>
      </c>
      <c r="N115" s="55">
        <v>0.11538461538461538</v>
      </c>
      <c r="O115" s="56"/>
      <c r="P115" s="56"/>
      <c r="Q115" s="56"/>
      <c r="R115" s="56"/>
      <c r="S115" s="113" t="s">
        <v>282</v>
      </c>
      <c r="T115" s="116" t="s">
        <v>566</v>
      </c>
      <c r="U115" s="113" t="s">
        <v>92</v>
      </c>
      <c r="V115" s="114"/>
    </row>
    <row r="116" spans="1:22" ht="15" customHeight="1">
      <c r="A116" s="50" t="s">
        <v>564</v>
      </c>
      <c r="B116" s="51">
        <v>43</v>
      </c>
      <c r="C116" s="47" t="s">
        <v>280</v>
      </c>
      <c r="D116" s="50" t="s">
        <v>639</v>
      </c>
      <c r="E116" s="47">
        <v>5.7</v>
      </c>
      <c r="F116" s="47">
        <v>3.65</v>
      </c>
      <c r="G116" s="47">
        <v>1</v>
      </c>
      <c r="H116" s="47">
        <v>7.0000000000000007E-2</v>
      </c>
      <c r="I116" s="52">
        <v>1.2039930555555555E-2</v>
      </c>
      <c r="J116" s="50" t="s">
        <v>565</v>
      </c>
      <c r="K116" s="257">
        <v>68</v>
      </c>
      <c r="L116" s="53">
        <v>680.00000000000011</v>
      </c>
      <c r="M116" s="54">
        <v>13.076923076923078</v>
      </c>
      <c r="N116" s="55">
        <v>0.19230769230769232</v>
      </c>
      <c r="O116" s="56"/>
      <c r="P116" s="56"/>
      <c r="Q116" s="56"/>
      <c r="R116" s="56"/>
      <c r="S116" s="113" t="s">
        <v>279</v>
      </c>
      <c r="T116" s="116" t="s">
        <v>566</v>
      </c>
      <c r="U116" s="113" t="s">
        <v>92</v>
      </c>
      <c r="V116" s="114"/>
    </row>
    <row r="117" spans="1:22" ht="15" customHeight="1">
      <c r="A117" s="50" t="s">
        <v>564</v>
      </c>
      <c r="B117" s="51">
        <v>86</v>
      </c>
      <c r="C117" s="47" t="s">
        <v>528</v>
      </c>
      <c r="D117" s="50" t="s">
        <v>529</v>
      </c>
      <c r="E117" s="47">
        <v>38.25</v>
      </c>
      <c r="F117" s="47">
        <v>4</v>
      </c>
      <c r="G117" s="47">
        <v>3</v>
      </c>
      <c r="H117" s="47">
        <v>1.4</v>
      </c>
      <c r="I117" s="52">
        <v>0.265625</v>
      </c>
      <c r="J117" s="50" t="s">
        <v>637</v>
      </c>
      <c r="K117" s="257">
        <v>1599</v>
      </c>
      <c r="L117" s="53">
        <v>9594</v>
      </c>
      <c r="M117" s="54">
        <v>184.5</v>
      </c>
      <c r="N117" s="55">
        <v>0.11538461538461539</v>
      </c>
      <c r="O117" s="56"/>
      <c r="P117" s="56"/>
      <c r="Q117" s="56"/>
      <c r="R117" s="56"/>
      <c r="S117" s="113"/>
      <c r="T117" s="116" t="e">
        <v>#N/A</v>
      </c>
      <c r="U117" s="113" t="e">
        <v>#N/A</v>
      </c>
      <c r="V117" s="114"/>
    </row>
    <row r="118" spans="1:22" ht="15" customHeight="1">
      <c r="A118" s="50" t="s">
        <v>564</v>
      </c>
      <c r="B118" s="51">
        <v>77</v>
      </c>
      <c r="C118" s="47" t="s">
        <v>487</v>
      </c>
      <c r="D118" s="50" t="s">
        <v>640</v>
      </c>
      <c r="E118" s="47">
        <v>16.25</v>
      </c>
      <c r="F118" s="47">
        <v>5</v>
      </c>
      <c r="G118" s="47">
        <v>3</v>
      </c>
      <c r="H118" s="47">
        <v>2</v>
      </c>
      <c r="I118" s="52">
        <v>0.14105902777777779</v>
      </c>
      <c r="J118" s="50" t="s">
        <v>572</v>
      </c>
      <c r="K118" s="257">
        <v>1503</v>
      </c>
      <c r="L118" s="53">
        <v>12024.000000000002</v>
      </c>
      <c r="M118" s="54">
        <v>231.23076923076925</v>
      </c>
      <c r="N118" s="55">
        <v>0.15384615384615385</v>
      </c>
      <c r="O118" s="56"/>
      <c r="P118" s="56"/>
      <c r="Q118" s="56"/>
      <c r="R118" s="56"/>
      <c r="S118" s="113" t="s">
        <v>486</v>
      </c>
      <c r="T118" s="116" t="s">
        <v>573</v>
      </c>
      <c r="U118" s="113" t="s">
        <v>0</v>
      </c>
      <c r="V118" s="114"/>
    </row>
    <row r="119" spans="1:22" ht="15" customHeight="1">
      <c r="A119" s="50" t="s">
        <v>564</v>
      </c>
      <c r="B119" s="51">
        <v>55</v>
      </c>
      <c r="C119" s="47" t="s">
        <v>312</v>
      </c>
      <c r="D119" s="50" t="s">
        <v>641</v>
      </c>
      <c r="E119" s="47">
        <v>7.87</v>
      </c>
      <c r="F119" s="47">
        <v>5</v>
      </c>
      <c r="G119" s="47">
        <v>3</v>
      </c>
      <c r="H119" s="47">
        <v>0.4</v>
      </c>
      <c r="I119" s="52">
        <v>6.8315972222222229E-2</v>
      </c>
      <c r="J119" s="50" t="s">
        <v>565</v>
      </c>
      <c r="K119" s="257">
        <v>184</v>
      </c>
      <c r="L119" s="53">
        <v>1840</v>
      </c>
      <c r="M119" s="54">
        <v>35.384615384615387</v>
      </c>
      <c r="N119" s="55">
        <v>0.19230769230769232</v>
      </c>
      <c r="O119" s="56"/>
      <c r="P119" s="56"/>
      <c r="Q119" s="56"/>
      <c r="R119" s="56"/>
      <c r="S119" s="113" t="s">
        <v>311</v>
      </c>
      <c r="T119" s="116" t="s">
        <v>573</v>
      </c>
      <c r="U119" s="113" t="s">
        <v>0</v>
      </c>
      <c r="V119" s="114"/>
    </row>
    <row r="120" spans="1:22" ht="15" customHeight="1">
      <c r="A120" s="50" t="s">
        <v>564</v>
      </c>
      <c r="B120" s="51">
        <v>42</v>
      </c>
      <c r="C120" s="47" t="s">
        <v>431</v>
      </c>
      <c r="D120" s="50" t="s">
        <v>642</v>
      </c>
      <c r="E120" s="47">
        <v>10.5</v>
      </c>
      <c r="F120" s="47">
        <v>4.5</v>
      </c>
      <c r="G120" s="47">
        <v>0.5</v>
      </c>
      <c r="H120" s="47">
        <v>1.06</v>
      </c>
      <c r="I120" s="52">
        <v>1.3671875E-2</v>
      </c>
      <c r="J120" s="50" t="s">
        <v>577</v>
      </c>
      <c r="K120" s="257">
        <v>68</v>
      </c>
      <c r="L120" s="53">
        <v>2244</v>
      </c>
      <c r="M120" s="54">
        <v>43.153846153846153</v>
      </c>
      <c r="N120" s="55">
        <v>0.63461538461538458</v>
      </c>
      <c r="O120" s="56"/>
      <c r="P120" s="56"/>
      <c r="Q120" s="56"/>
      <c r="R120" s="56"/>
      <c r="S120" s="113" t="s">
        <v>430</v>
      </c>
      <c r="T120" s="116" t="s">
        <v>191</v>
      </c>
      <c r="U120" s="113" t="s">
        <v>0</v>
      </c>
      <c r="V120" s="114"/>
    </row>
    <row r="121" spans="1:22" ht="15" customHeight="1">
      <c r="A121" s="50" t="s">
        <v>564</v>
      </c>
      <c r="B121" s="51">
        <v>40</v>
      </c>
      <c r="C121" s="47" t="s">
        <v>428</v>
      </c>
      <c r="D121" s="50" t="s">
        <v>643</v>
      </c>
      <c r="E121" s="47">
        <v>8.5</v>
      </c>
      <c r="F121" s="47">
        <v>4.5</v>
      </c>
      <c r="G121" s="47">
        <v>0.5</v>
      </c>
      <c r="H121" s="47">
        <v>0.93</v>
      </c>
      <c r="I121" s="52">
        <v>1.1067708333333334E-2</v>
      </c>
      <c r="J121" s="50" t="s">
        <v>577</v>
      </c>
      <c r="K121" s="257">
        <v>68</v>
      </c>
      <c r="L121" s="53">
        <v>1291.9999999999998</v>
      </c>
      <c r="M121" s="54">
        <v>24.846153846153843</v>
      </c>
      <c r="N121" s="55">
        <v>0.36538461538461536</v>
      </c>
      <c r="O121" s="56"/>
      <c r="P121" s="56"/>
      <c r="Q121" s="56"/>
      <c r="R121" s="56"/>
      <c r="S121" s="113" t="s">
        <v>427</v>
      </c>
      <c r="T121" s="116" t="s">
        <v>191</v>
      </c>
      <c r="U121" s="113" t="s">
        <v>0</v>
      </c>
      <c r="V121" s="114"/>
    </row>
    <row r="122" spans="1:22" ht="15" customHeight="1">
      <c r="A122" s="38" t="s">
        <v>564</v>
      </c>
      <c r="B122" s="39">
        <v>33</v>
      </c>
      <c r="C122" s="40" t="s">
        <v>250</v>
      </c>
      <c r="D122" s="38" t="s">
        <v>251</v>
      </c>
      <c r="E122" s="40">
        <v>5.5</v>
      </c>
      <c r="F122" s="40">
        <v>3.5</v>
      </c>
      <c r="G122" s="40">
        <v>1</v>
      </c>
      <c r="H122" s="40">
        <v>0.3</v>
      </c>
      <c r="I122" s="41">
        <v>1.1140046296296295E-2</v>
      </c>
      <c r="J122" s="38" t="s">
        <v>572</v>
      </c>
      <c r="K122" s="256">
        <v>68</v>
      </c>
      <c r="L122" s="43">
        <v>408</v>
      </c>
      <c r="M122" s="44">
        <v>7.8461538461538458</v>
      </c>
      <c r="N122" s="45">
        <v>0.11538461538461538</v>
      </c>
      <c r="O122" s="46"/>
      <c r="P122" s="46"/>
      <c r="Q122" s="46"/>
      <c r="R122" s="46" t="s">
        <v>335</v>
      </c>
      <c r="S122" s="113" t="s">
        <v>249</v>
      </c>
      <c r="T122" s="116" t="s">
        <v>566</v>
      </c>
      <c r="U122" s="113" t="s">
        <v>92</v>
      </c>
      <c r="V122" s="113"/>
    </row>
    <row r="123" spans="1:22" ht="15" customHeight="1">
      <c r="A123" s="50" t="s">
        <v>564</v>
      </c>
      <c r="B123" s="51">
        <v>46</v>
      </c>
      <c r="C123" s="47" t="s">
        <v>422</v>
      </c>
      <c r="D123" s="50" t="s">
        <v>644</v>
      </c>
      <c r="E123" s="47">
        <v>8.5</v>
      </c>
      <c r="F123" s="47">
        <v>4.5</v>
      </c>
      <c r="G123" s="47">
        <v>1</v>
      </c>
      <c r="H123" s="47">
        <v>1.1000000000000001</v>
      </c>
      <c r="I123" s="52">
        <v>2.2135416666666668E-2</v>
      </c>
      <c r="J123" s="50" t="s">
        <v>577</v>
      </c>
      <c r="K123" s="257">
        <v>68</v>
      </c>
      <c r="L123" s="53">
        <v>544</v>
      </c>
      <c r="M123" s="54">
        <v>10.461538461538462</v>
      </c>
      <c r="N123" s="55">
        <v>0.15384615384615385</v>
      </c>
      <c r="O123" s="56"/>
      <c r="P123" s="56"/>
      <c r="Q123" s="56"/>
      <c r="R123" s="56"/>
      <c r="S123" s="113" t="s">
        <v>421</v>
      </c>
      <c r="T123" s="116" t="s">
        <v>191</v>
      </c>
      <c r="U123" s="113" t="s">
        <v>0</v>
      </c>
      <c r="V123" s="114"/>
    </row>
    <row r="124" spans="1:22" ht="15" customHeight="1">
      <c r="A124" s="50" t="s">
        <v>564</v>
      </c>
      <c r="B124" s="51">
        <v>76</v>
      </c>
      <c r="C124" s="47" t="s">
        <v>365</v>
      </c>
      <c r="D124" s="50" t="s">
        <v>366</v>
      </c>
      <c r="E124" s="47">
        <v>6.5</v>
      </c>
      <c r="F124" s="47">
        <v>2.875</v>
      </c>
      <c r="G124" s="47">
        <v>2.25</v>
      </c>
      <c r="H124" s="47">
        <v>1.25</v>
      </c>
      <c r="I124" s="52">
        <v>2.4332682291666668E-2</v>
      </c>
      <c r="J124" s="50" t="s">
        <v>565</v>
      </c>
      <c r="K124" s="257">
        <v>1503</v>
      </c>
      <c r="L124" s="53">
        <v>9018</v>
      </c>
      <c r="M124" s="54">
        <v>173.42307692307693</v>
      </c>
      <c r="N124" s="55">
        <v>0.11538461538461539</v>
      </c>
      <c r="O124" s="56"/>
      <c r="P124" s="56"/>
      <c r="Q124" s="56"/>
      <c r="R124" s="56"/>
      <c r="S124" s="113" t="s">
        <v>364</v>
      </c>
      <c r="T124" s="116" t="s">
        <v>566</v>
      </c>
      <c r="U124" s="113" t="s">
        <v>0</v>
      </c>
      <c r="V124" s="114"/>
    </row>
    <row r="125" spans="1:22" ht="15" customHeight="1">
      <c r="A125" s="38" t="s">
        <v>564</v>
      </c>
      <c r="B125" s="39">
        <v>100</v>
      </c>
      <c r="C125" s="40" t="s">
        <v>195</v>
      </c>
      <c r="D125" s="38" t="s">
        <v>645</v>
      </c>
      <c r="E125" s="40">
        <v>5.7</v>
      </c>
      <c r="F125" s="40">
        <v>3.65</v>
      </c>
      <c r="G125" s="40">
        <v>1</v>
      </c>
      <c r="H125" s="40" t="s">
        <v>327</v>
      </c>
      <c r="I125" s="41" t="s">
        <v>327</v>
      </c>
      <c r="J125" s="38" t="s">
        <v>565</v>
      </c>
      <c r="K125" s="256">
        <v>1599</v>
      </c>
      <c r="L125" s="43">
        <v>12792</v>
      </c>
      <c r="M125" s="44">
        <v>246</v>
      </c>
      <c r="N125" s="45">
        <v>0.15384615384615385</v>
      </c>
      <c r="O125" s="46" t="s">
        <v>335</v>
      </c>
      <c r="P125" s="46"/>
      <c r="Q125" s="46" t="s">
        <v>335</v>
      </c>
      <c r="R125" s="46" t="s">
        <v>335</v>
      </c>
      <c r="S125" s="113"/>
      <c r="T125" s="116" t="s">
        <v>573</v>
      </c>
      <c r="U125" s="113" t="s">
        <v>70</v>
      </c>
      <c r="V125" s="113"/>
    </row>
    <row r="126" spans="1:22" ht="15" customHeight="1">
      <c r="A126" s="38" t="s">
        <v>564</v>
      </c>
      <c r="B126" s="39">
        <v>60</v>
      </c>
      <c r="C126" s="40" t="s">
        <v>259</v>
      </c>
      <c r="D126" s="38" t="s">
        <v>646</v>
      </c>
      <c r="E126" s="40">
        <v>7</v>
      </c>
      <c r="F126" s="40">
        <v>4.75</v>
      </c>
      <c r="G126" s="40">
        <v>2.5</v>
      </c>
      <c r="H126" s="40">
        <v>1.4</v>
      </c>
      <c r="I126" s="41">
        <v>4.8104745370370371E-2</v>
      </c>
      <c r="J126" s="38" t="s">
        <v>565</v>
      </c>
      <c r="K126" s="256">
        <v>184</v>
      </c>
      <c r="L126" s="43">
        <v>920</v>
      </c>
      <c r="M126" s="44">
        <v>17.692307692307693</v>
      </c>
      <c r="N126" s="45">
        <v>9.6153846153846159E-2</v>
      </c>
      <c r="O126" s="46"/>
      <c r="P126" s="46" t="s">
        <v>335</v>
      </c>
      <c r="Q126" s="46"/>
      <c r="R126" s="46" t="s">
        <v>335</v>
      </c>
      <c r="S126" s="113" t="s">
        <v>258</v>
      </c>
      <c r="T126" s="116" t="s">
        <v>602</v>
      </c>
      <c r="U126" s="113" t="s">
        <v>92</v>
      </c>
      <c r="V126" s="113"/>
    </row>
    <row r="127" spans="1:22" ht="15" customHeight="1">
      <c r="A127" s="38" t="s">
        <v>564</v>
      </c>
      <c r="B127" s="39">
        <v>16</v>
      </c>
      <c r="C127" s="40" t="s">
        <v>296</v>
      </c>
      <c r="D127" s="38" t="s">
        <v>297</v>
      </c>
      <c r="E127" s="40">
        <v>7.5</v>
      </c>
      <c r="F127" s="40">
        <v>2</v>
      </c>
      <c r="G127" s="40">
        <v>5</v>
      </c>
      <c r="H127" s="40">
        <v>1</v>
      </c>
      <c r="I127" s="41">
        <v>4.3402777777777776E-2</v>
      </c>
      <c r="J127" s="38" t="s">
        <v>572</v>
      </c>
      <c r="K127" s="256">
        <v>68</v>
      </c>
      <c r="L127" s="43">
        <v>340.00000000000006</v>
      </c>
      <c r="M127" s="44">
        <v>6.5384615384615392</v>
      </c>
      <c r="N127" s="45">
        <v>9.6153846153846159E-2</v>
      </c>
      <c r="O127" s="46"/>
      <c r="P127" s="46"/>
      <c r="Q127" s="46"/>
      <c r="R127" s="46" t="s">
        <v>335</v>
      </c>
      <c r="S127" s="113" t="s">
        <v>295</v>
      </c>
      <c r="T127" s="116" t="s">
        <v>566</v>
      </c>
      <c r="U127" s="113" t="s">
        <v>70</v>
      </c>
      <c r="V127" s="113"/>
    </row>
    <row r="128" spans="1:22" ht="15" customHeight="1">
      <c r="A128" s="38" t="s">
        <v>564</v>
      </c>
      <c r="B128" s="39">
        <v>41</v>
      </c>
      <c r="C128" s="40" t="s">
        <v>137</v>
      </c>
      <c r="D128" s="38" t="s">
        <v>357</v>
      </c>
      <c r="E128" s="40">
        <v>13.75</v>
      </c>
      <c r="F128" s="40">
        <v>3.625</v>
      </c>
      <c r="G128" s="40">
        <v>1.5</v>
      </c>
      <c r="H128" s="40">
        <v>0.4</v>
      </c>
      <c r="I128" s="41">
        <v>4.3267144097222224E-2</v>
      </c>
      <c r="J128" s="38" t="s">
        <v>565</v>
      </c>
      <c r="K128" s="256">
        <v>68</v>
      </c>
      <c r="L128" s="43">
        <v>340.00000000000006</v>
      </c>
      <c r="M128" s="44">
        <v>6.5384615384615392</v>
      </c>
      <c r="N128" s="45">
        <v>9.6153846153846159E-2</v>
      </c>
      <c r="O128" s="46"/>
      <c r="P128" s="46"/>
      <c r="Q128" s="46"/>
      <c r="R128" s="46" t="s">
        <v>335</v>
      </c>
      <c r="S128" s="113" t="s">
        <v>356</v>
      </c>
      <c r="T128" s="116" t="s">
        <v>566</v>
      </c>
      <c r="U128" s="113" t="s">
        <v>0</v>
      </c>
      <c r="V128" s="113"/>
    </row>
    <row r="129" spans="1:22" ht="15" customHeight="1">
      <c r="A129" s="38" t="s">
        <v>564</v>
      </c>
      <c r="B129" s="39">
        <v>18</v>
      </c>
      <c r="C129" s="40" t="s">
        <v>69</v>
      </c>
      <c r="D129" s="38" t="s">
        <v>206</v>
      </c>
      <c r="E129" s="40">
        <v>5.7</v>
      </c>
      <c r="F129" s="40">
        <v>3.65</v>
      </c>
      <c r="G129" s="40">
        <v>1.25</v>
      </c>
      <c r="H129" s="40">
        <v>0.2</v>
      </c>
      <c r="I129" s="41">
        <v>1.5049913194444445E-2</v>
      </c>
      <c r="J129" s="38" t="s">
        <v>565</v>
      </c>
      <c r="K129" s="256">
        <v>68</v>
      </c>
      <c r="L129" s="43">
        <v>340.00000000000006</v>
      </c>
      <c r="M129" s="44">
        <v>6.5384615384615392</v>
      </c>
      <c r="N129" s="45">
        <v>9.6153846153846159E-2</v>
      </c>
      <c r="O129" s="46"/>
      <c r="P129" s="46"/>
      <c r="Q129" s="46"/>
      <c r="R129" s="46" t="s">
        <v>335</v>
      </c>
      <c r="S129" s="113" t="s">
        <v>205</v>
      </c>
      <c r="T129" s="116" t="s">
        <v>575</v>
      </c>
      <c r="U129" s="113" t="s">
        <v>70</v>
      </c>
      <c r="V129" s="113"/>
    </row>
    <row r="130" spans="1:22" ht="15" customHeight="1">
      <c r="A130" s="38" t="s">
        <v>564</v>
      </c>
      <c r="B130" s="39">
        <v>47</v>
      </c>
      <c r="C130" s="40" t="s">
        <v>141</v>
      </c>
      <c r="D130" s="38" t="s">
        <v>371</v>
      </c>
      <c r="E130" s="40">
        <v>5.7</v>
      </c>
      <c r="F130" s="40">
        <v>3.65</v>
      </c>
      <c r="G130" s="40">
        <v>3.75</v>
      </c>
      <c r="H130" s="40">
        <v>0.15</v>
      </c>
      <c r="I130" s="41">
        <v>4.5149739583333334E-2</v>
      </c>
      <c r="J130" s="38" t="s">
        <v>565</v>
      </c>
      <c r="K130" s="256">
        <v>68</v>
      </c>
      <c r="L130" s="43">
        <v>408</v>
      </c>
      <c r="M130" s="44">
        <v>7.8461538461538458</v>
      </c>
      <c r="N130" s="45">
        <v>0.11538461538461538</v>
      </c>
      <c r="O130" s="46"/>
      <c r="P130" s="46"/>
      <c r="Q130" s="46"/>
      <c r="R130" s="46" t="s">
        <v>335</v>
      </c>
      <c r="S130" s="113" t="s">
        <v>370</v>
      </c>
      <c r="T130" s="116" t="s">
        <v>566</v>
      </c>
      <c r="U130" s="113" t="s">
        <v>0</v>
      </c>
      <c r="V130" s="113"/>
    </row>
    <row r="131" spans="1:22" ht="15" customHeight="1">
      <c r="A131" s="38" t="s">
        <v>564</v>
      </c>
      <c r="B131" s="39">
        <v>14</v>
      </c>
      <c r="C131" s="40" t="s">
        <v>245</v>
      </c>
      <c r="D131" s="38" t="s">
        <v>246</v>
      </c>
      <c r="E131" s="40">
        <v>5</v>
      </c>
      <c r="F131" s="40">
        <v>3.5</v>
      </c>
      <c r="G131" s="40">
        <v>1</v>
      </c>
      <c r="H131" s="40">
        <v>0.3</v>
      </c>
      <c r="I131" s="41">
        <v>1.0127314814814815E-2</v>
      </c>
      <c r="J131" s="38" t="s">
        <v>572</v>
      </c>
      <c r="K131" s="256">
        <v>68</v>
      </c>
      <c r="L131" s="43">
        <v>476</v>
      </c>
      <c r="M131" s="44">
        <v>9.1538461538461533</v>
      </c>
      <c r="N131" s="45">
        <v>0.13461538461538461</v>
      </c>
      <c r="O131" s="46"/>
      <c r="P131" s="46"/>
      <c r="Q131" s="46"/>
      <c r="R131" s="46" t="s">
        <v>335</v>
      </c>
      <c r="S131" s="113" t="s">
        <v>244</v>
      </c>
      <c r="T131" s="116" t="s">
        <v>566</v>
      </c>
      <c r="U131" s="113" t="s">
        <v>92</v>
      </c>
      <c r="V131" s="113"/>
    </row>
    <row r="132" spans="1:22" ht="15" customHeight="1">
      <c r="A132" s="50" t="s">
        <v>564</v>
      </c>
      <c r="B132" s="51">
        <v>32</v>
      </c>
      <c r="C132" s="47" t="s">
        <v>232</v>
      </c>
      <c r="D132" s="50" t="s">
        <v>233</v>
      </c>
      <c r="E132" s="47">
        <v>6.5</v>
      </c>
      <c r="F132" s="47">
        <v>3.65</v>
      </c>
      <c r="G132" s="47">
        <v>2.5</v>
      </c>
      <c r="H132" s="47">
        <v>0.1</v>
      </c>
      <c r="I132" s="52">
        <v>3.4324363425925923E-2</v>
      </c>
      <c r="J132" s="50" t="s">
        <v>565</v>
      </c>
      <c r="K132" s="257">
        <v>68</v>
      </c>
      <c r="L132" s="53">
        <v>680.00000000000011</v>
      </c>
      <c r="M132" s="54">
        <v>13.076923076923078</v>
      </c>
      <c r="N132" s="55">
        <v>0.19230769230769232</v>
      </c>
      <c r="O132" s="56"/>
      <c r="P132" s="56"/>
      <c r="Q132" s="56"/>
      <c r="R132" s="56"/>
      <c r="S132" s="113" t="s">
        <v>231</v>
      </c>
      <c r="T132" s="116" t="s">
        <v>566</v>
      </c>
      <c r="U132" s="113" t="s">
        <v>70</v>
      </c>
      <c r="V132" s="114"/>
    </row>
    <row r="133" spans="1:22" ht="15" customHeight="1">
      <c r="A133" s="50" t="s">
        <v>564</v>
      </c>
      <c r="B133" s="51">
        <v>37</v>
      </c>
      <c r="C133" s="47" t="s">
        <v>235</v>
      </c>
      <c r="D133" s="50" t="s">
        <v>236</v>
      </c>
      <c r="E133" s="47">
        <v>6.5</v>
      </c>
      <c r="F133" s="47">
        <v>3.65</v>
      </c>
      <c r="G133" s="47">
        <v>2.5</v>
      </c>
      <c r="H133" s="47">
        <v>0.1</v>
      </c>
      <c r="I133" s="52">
        <v>3.4324363425925923E-2</v>
      </c>
      <c r="J133" s="50" t="s">
        <v>565</v>
      </c>
      <c r="K133" s="257">
        <v>68</v>
      </c>
      <c r="L133" s="53">
        <v>680.00000000000011</v>
      </c>
      <c r="M133" s="54">
        <v>13.076923076923078</v>
      </c>
      <c r="N133" s="55">
        <v>0.19230769230769232</v>
      </c>
      <c r="O133" s="56"/>
      <c r="P133" s="56"/>
      <c r="Q133" s="56"/>
      <c r="R133" s="56"/>
      <c r="S133" s="113" t="s">
        <v>234</v>
      </c>
      <c r="T133" s="116" t="s">
        <v>566</v>
      </c>
      <c r="U133" s="113" t="s">
        <v>70</v>
      </c>
      <c r="V133" s="114"/>
    </row>
    <row r="134" spans="1:22" ht="15" customHeight="1">
      <c r="A134" s="50" t="s">
        <v>564</v>
      </c>
      <c r="B134" s="51">
        <v>30</v>
      </c>
      <c r="C134" s="47" t="s">
        <v>226</v>
      </c>
      <c r="D134" s="50" t="s">
        <v>227</v>
      </c>
      <c r="E134" s="47">
        <v>6.5</v>
      </c>
      <c r="F134" s="47">
        <v>3.65</v>
      </c>
      <c r="G134" s="47">
        <v>2.5</v>
      </c>
      <c r="H134" s="47">
        <v>0.1</v>
      </c>
      <c r="I134" s="52">
        <v>3.4324363425925923E-2</v>
      </c>
      <c r="J134" s="50" t="s">
        <v>565</v>
      </c>
      <c r="K134" s="257">
        <v>68</v>
      </c>
      <c r="L134" s="53">
        <v>544</v>
      </c>
      <c r="M134" s="54">
        <v>10.461538461538462</v>
      </c>
      <c r="N134" s="55">
        <v>0.15384615384615385</v>
      </c>
      <c r="O134" s="56"/>
      <c r="P134" s="56"/>
      <c r="Q134" s="56"/>
      <c r="R134" s="56"/>
      <c r="S134" s="113" t="s">
        <v>225</v>
      </c>
      <c r="T134" s="116" t="s">
        <v>566</v>
      </c>
      <c r="U134" s="113" t="s">
        <v>70</v>
      </c>
      <c r="V134" s="114"/>
    </row>
    <row r="135" spans="1:22" ht="15" customHeight="1">
      <c r="A135" s="50" t="s">
        <v>564</v>
      </c>
      <c r="B135" s="51">
        <v>31</v>
      </c>
      <c r="C135" s="47" t="s">
        <v>229</v>
      </c>
      <c r="D135" s="50" t="s">
        <v>230</v>
      </c>
      <c r="E135" s="47">
        <v>6.5</v>
      </c>
      <c r="F135" s="47">
        <v>3.65</v>
      </c>
      <c r="G135" s="47">
        <v>2.5</v>
      </c>
      <c r="H135" s="47">
        <v>0.1</v>
      </c>
      <c r="I135" s="52">
        <v>3.4324363425925923E-2</v>
      </c>
      <c r="J135" s="50" t="s">
        <v>565</v>
      </c>
      <c r="K135" s="257">
        <v>68</v>
      </c>
      <c r="L135" s="53">
        <v>476</v>
      </c>
      <c r="M135" s="54">
        <v>9.1538461538461533</v>
      </c>
      <c r="N135" s="55">
        <v>0.13461538461538461</v>
      </c>
      <c r="O135" s="56"/>
      <c r="P135" s="56"/>
      <c r="Q135" s="56"/>
      <c r="R135" s="56"/>
      <c r="S135" s="113" t="s">
        <v>228</v>
      </c>
      <c r="T135" s="116" t="s">
        <v>566</v>
      </c>
      <c r="U135" s="113" t="s">
        <v>70</v>
      </c>
      <c r="V135" s="114"/>
    </row>
    <row r="136" spans="1:22" ht="15" customHeight="1">
      <c r="A136" s="38" t="s">
        <v>564</v>
      </c>
      <c r="B136" s="39">
        <v>13</v>
      </c>
      <c r="C136" s="40" t="s">
        <v>518</v>
      </c>
      <c r="D136" s="38" t="s">
        <v>519</v>
      </c>
      <c r="E136" s="40">
        <v>8.5</v>
      </c>
      <c r="F136" s="40">
        <v>8.5</v>
      </c>
      <c r="G136" s="40">
        <v>4.25</v>
      </c>
      <c r="H136" s="40">
        <v>3</v>
      </c>
      <c r="I136" s="41">
        <v>0.17769820601851852</v>
      </c>
      <c r="J136" s="42" t="s">
        <v>565</v>
      </c>
      <c r="K136" s="256">
        <v>68</v>
      </c>
      <c r="L136" s="43">
        <v>340.00000000000006</v>
      </c>
      <c r="M136" s="44">
        <v>6.5384615384615392</v>
      </c>
      <c r="N136" s="45">
        <v>9.6153846153846159E-2</v>
      </c>
      <c r="O136" s="46"/>
      <c r="P136" s="46"/>
      <c r="Q136" s="46"/>
      <c r="R136" s="46" t="s">
        <v>335</v>
      </c>
      <c r="S136" s="113"/>
      <c r="T136" s="116" t="s">
        <v>574</v>
      </c>
      <c r="U136" s="113" t="s">
        <v>92</v>
      </c>
      <c r="V136" s="113"/>
    </row>
    <row r="137" spans="1:22" ht="15" customHeight="1">
      <c r="A137" s="38" t="s">
        <v>564</v>
      </c>
      <c r="B137" s="39">
        <v>15</v>
      </c>
      <c r="C137" s="40" t="s">
        <v>292</v>
      </c>
      <c r="D137" s="38" t="s">
        <v>293</v>
      </c>
      <c r="E137" s="40">
        <v>8</v>
      </c>
      <c r="F137" s="40">
        <v>2.25</v>
      </c>
      <c r="G137" s="40">
        <v>5</v>
      </c>
      <c r="H137" s="40">
        <v>0.8</v>
      </c>
      <c r="I137" s="41">
        <v>5.2083333333333336E-2</v>
      </c>
      <c r="J137" s="38" t="s">
        <v>572</v>
      </c>
      <c r="K137" s="256">
        <v>68</v>
      </c>
      <c r="L137" s="43">
        <v>340.00000000000006</v>
      </c>
      <c r="M137" s="44">
        <v>6.5384615384615392</v>
      </c>
      <c r="N137" s="45">
        <v>9.6153846153846159E-2</v>
      </c>
      <c r="O137" s="46"/>
      <c r="P137" s="46"/>
      <c r="Q137" s="46"/>
      <c r="R137" s="46" t="s">
        <v>335</v>
      </c>
      <c r="S137" s="113" t="s">
        <v>291</v>
      </c>
      <c r="T137" s="116" t="s">
        <v>566</v>
      </c>
      <c r="U137" s="113" t="s">
        <v>70</v>
      </c>
      <c r="V137" s="113"/>
    </row>
    <row r="138" spans="1:22" ht="15" customHeight="1">
      <c r="A138" s="50" t="s">
        <v>564</v>
      </c>
      <c r="B138" s="51">
        <v>52</v>
      </c>
      <c r="C138" s="47" t="s">
        <v>533</v>
      </c>
      <c r="D138" s="50" t="s">
        <v>534</v>
      </c>
      <c r="E138" s="47">
        <v>14.13</v>
      </c>
      <c r="F138" s="47">
        <v>11.38</v>
      </c>
      <c r="G138" s="47">
        <v>11.13</v>
      </c>
      <c r="H138" s="47">
        <v>9.5</v>
      </c>
      <c r="I138" s="52">
        <v>1.0357044687500003</v>
      </c>
      <c r="J138" s="50" t="s">
        <v>584</v>
      </c>
      <c r="K138" s="257">
        <v>68</v>
      </c>
      <c r="L138" s="53">
        <v>340.00000000000006</v>
      </c>
      <c r="M138" s="54">
        <v>6.5384615384615392</v>
      </c>
      <c r="N138" s="55">
        <v>9.6153846153846159E-2</v>
      </c>
      <c r="O138" s="56"/>
      <c r="P138" s="56"/>
      <c r="Q138" s="56"/>
      <c r="R138" s="56"/>
      <c r="S138" s="113"/>
      <c r="T138" s="116" t="e">
        <v>#N/A</v>
      </c>
      <c r="U138" s="113" t="e">
        <v>#N/A</v>
      </c>
      <c r="V138" s="114"/>
    </row>
    <row r="139" spans="1:22" ht="15" customHeight="1">
      <c r="A139" s="50" t="s">
        <v>564</v>
      </c>
      <c r="B139" s="51">
        <v>83</v>
      </c>
      <c r="C139" s="47" t="s">
        <v>353</v>
      </c>
      <c r="D139" s="50" t="s">
        <v>647</v>
      </c>
      <c r="E139" s="47">
        <v>5.7</v>
      </c>
      <c r="F139" s="47">
        <v>3.65</v>
      </c>
      <c r="G139" s="47">
        <v>1.75</v>
      </c>
      <c r="H139" s="47">
        <v>0.28000000000000003</v>
      </c>
      <c r="I139" s="52">
        <v>2.106987847222222E-2</v>
      </c>
      <c r="J139" s="50" t="s">
        <v>565</v>
      </c>
      <c r="K139" s="257">
        <v>1503</v>
      </c>
      <c r="L139" s="53">
        <v>7515</v>
      </c>
      <c r="M139" s="54">
        <v>144.51923076923077</v>
      </c>
      <c r="N139" s="55">
        <v>9.6153846153846159E-2</v>
      </c>
      <c r="O139" s="56"/>
      <c r="P139" s="56"/>
      <c r="Q139" s="56"/>
      <c r="R139" s="56"/>
      <c r="S139" s="113" t="s">
        <v>352</v>
      </c>
      <c r="T139" s="116" t="s">
        <v>648</v>
      </c>
      <c r="U139" s="113" t="s">
        <v>0</v>
      </c>
      <c r="V139" s="114"/>
    </row>
    <row r="140" spans="1:22" ht="15" customHeight="1">
      <c r="A140" s="38" t="s">
        <v>564</v>
      </c>
      <c r="B140" s="39">
        <v>61</v>
      </c>
      <c r="C140" s="40" t="s">
        <v>136</v>
      </c>
      <c r="D140" s="38" t="s">
        <v>649</v>
      </c>
      <c r="E140" s="40">
        <v>5.7</v>
      </c>
      <c r="F140" s="40">
        <v>3.65</v>
      </c>
      <c r="G140" s="40">
        <v>1.75</v>
      </c>
      <c r="H140" s="40">
        <v>0.25</v>
      </c>
      <c r="I140" s="41">
        <v>2.106987847222222E-2</v>
      </c>
      <c r="J140" s="38" t="s">
        <v>565</v>
      </c>
      <c r="K140" s="256">
        <v>184</v>
      </c>
      <c r="L140" s="43">
        <v>1472.0000000000002</v>
      </c>
      <c r="M140" s="44">
        <v>28.307692307692314</v>
      </c>
      <c r="N140" s="45">
        <v>0.15384615384615388</v>
      </c>
      <c r="O140" s="46"/>
      <c r="P140" s="46" t="s">
        <v>335</v>
      </c>
      <c r="Q140" s="46"/>
      <c r="R140" s="46" t="s">
        <v>335</v>
      </c>
      <c r="S140" s="113" t="s">
        <v>354</v>
      </c>
      <c r="T140" s="116" t="s">
        <v>648</v>
      </c>
      <c r="U140" s="113" t="s">
        <v>0</v>
      </c>
      <c r="V140" s="113"/>
    </row>
    <row r="141" spans="1:22" ht="15" customHeight="1">
      <c r="A141" s="38" t="s">
        <v>564</v>
      </c>
      <c r="B141" s="39">
        <v>53</v>
      </c>
      <c r="C141" s="40" t="s">
        <v>161</v>
      </c>
      <c r="D141" s="38" t="s">
        <v>417</v>
      </c>
      <c r="E141" s="40">
        <v>5.7</v>
      </c>
      <c r="F141" s="40">
        <v>3.65</v>
      </c>
      <c r="G141" s="40">
        <v>2</v>
      </c>
      <c r="H141" s="40">
        <v>0.1</v>
      </c>
      <c r="I141" s="41">
        <v>2.4079861111111111E-2</v>
      </c>
      <c r="J141" s="38" t="s">
        <v>565</v>
      </c>
      <c r="K141" s="256">
        <v>68</v>
      </c>
      <c r="L141" s="43">
        <v>340.00000000000006</v>
      </c>
      <c r="M141" s="44">
        <v>6.5384615384615392</v>
      </c>
      <c r="N141" s="45">
        <v>9.6153846153846159E-2</v>
      </c>
      <c r="O141" s="46"/>
      <c r="P141" s="46"/>
      <c r="Q141" s="46"/>
      <c r="R141" s="46" t="s">
        <v>335</v>
      </c>
      <c r="S141" s="113" t="s">
        <v>416</v>
      </c>
      <c r="T141" s="116" t="s">
        <v>650</v>
      </c>
      <c r="U141" s="113" t="s">
        <v>0</v>
      </c>
      <c r="V141" s="113"/>
    </row>
    <row r="142" spans="1:22" ht="15" customHeight="1">
      <c r="A142" s="50" t="s">
        <v>564</v>
      </c>
      <c r="B142" s="51">
        <v>125</v>
      </c>
      <c r="C142" s="47" t="s">
        <v>380</v>
      </c>
      <c r="D142" s="50" t="s">
        <v>381</v>
      </c>
      <c r="E142" s="47">
        <v>8.5</v>
      </c>
      <c r="F142" s="47">
        <v>8.5</v>
      </c>
      <c r="G142" s="47">
        <v>5</v>
      </c>
      <c r="H142" s="47">
        <v>0.89</v>
      </c>
      <c r="I142" s="52">
        <v>0.20905671296296297</v>
      </c>
      <c r="J142" s="50" t="s">
        <v>565</v>
      </c>
      <c r="K142" s="257">
        <v>1619</v>
      </c>
      <c r="L142" s="53">
        <v>12952</v>
      </c>
      <c r="M142" s="54">
        <v>249.07692307692307</v>
      </c>
      <c r="N142" s="55">
        <v>0.15384615384615383</v>
      </c>
      <c r="O142" s="56"/>
      <c r="P142" s="56"/>
      <c r="Q142" s="56"/>
      <c r="R142" s="56"/>
      <c r="S142" s="113" t="s">
        <v>379</v>
      </c>
      <c r="T142" s="116" t="s">
        <v>651</v>
      </c>
      <c r="U142" s="113" t="s">
        <v>0</v>
      </c>
      <c r="V142" s="114"/>
    </row>
    <row r="143" spans="1:22" ht="15" customHeight="1">
      <c r="A143" s="38" t="s">
        <v>564</v>
      </c>
      <c r="B143" s="39">
        <v>118</v>
      </c>
      <c r="C143" s="49" t="s">
        <v>107</v>
      </c>
      <c r="D143" s="38" t="s">
        <v>271</v>
      </c>
      <c r="E143" s="40">
        <v>8</v>
      </c>
      <c r="F143" s="40">
        <v>8</v>
      </c>
      <c r="G143" s="40">
        <v>3.5</v>
      </c>
      <c r="H143" s="40">
        <v>0.5</v>
      </c>
      <c r="I143" s="41">
        <v>0.12962962962962962</v>
      </c>
      <c r="J143" s="38" t="s">
        <v>572</v>
      </c>
      <c r="K143" s="256">
        <v>1599</v>
      </c>
      <c r="L143" s="43">
        <v>11193</v>
      </c>
      <c r="M143" s="44">
        <v>215.25</v>
      </c>
      <c r="N143" s="45">
        <v>0.13461538461538461</v>
      </c>
      <c r="O143" s="46" t="s">
        <v>335</v>
      </c>
      <c r="P143" s="46"/>
      <c r="Q143" s="46" t="s">
        <v>335</v>
      </c>
      <c r="R143" s="46" t="s">
        <v>335</v>
      </c>
      <c r="S143" s="113" t="s">
        <v>270</v>
      </c>
      <c r="T143" s="116" t="s">
        <v>579</v>
      </c>
      <c r="U143" s="113" t="s">
        <v>0</v>
      </c>
      <c r="V143" s="113"/>
    </row>
    <row r="144" spans="1:22" ht="15" customHeight="1">
      <c r="A144" s="38" t="s">
        <v>564</v>
      </c>
      <c r="B144" s="39">
        <v>11</v>
      </c>
      <c r="C144" s="40" t="s">
        <v>147</v>
      </c>
      <c r="D144" s="38" t="s">
        <v>387</v>
      </c>
      <c r="E144" s="40">
        <v>4</v>
      </c>
      <c r="F144" s="40">
        <v>6</v>
      </c>
      <c r="G144" s="40">
        <v>11</v>
      </c>
      <c r="H144" s="40" t="s">
        <v>327</v>
      </c>
      <c r="I144" s="41" t="s">
        <v>327</v>
      </c>
      <c r="J144" s="38" t="s">
        <v>584</v>
      </c>
      <c r="K144" s="256">
        <v>68</v>
      </c>
      <c r="L144" s="43">
        <v>340.00000000000006</v>
      </c>
      <c r="M144" s="44">
        <v>6.5384615384615392</v>
      </c>
      <c r="N144" s="45">
        <v>9.6153846153846159E-2</v>
      </c>
      <c r="O144" s="46"/>
      <c r="P144" s="46"/>
      <c r="Q144" s="46"/>
      <c r="R144" s="46" t="s">
        <v>335</v>
      </c>
      <c r="S144" s="113" t="s">
        <v>386</v>
      </c>
      <c r="T144" s="116" t="s">
        <v>573</v>
      </c>
      <c r="U144" s="113" t="s">
        <v>0</v>
      </c>
      <c r="V144" s="113"/>
    </row>
    <row r="145" spans="1:22" ht="15" customHeight="1">
      <c r="A145" s="38" t="s">
        <v>564</v>
      </c>
      <c r="B145" s="39">
        <v>51</v>
      </c>
      <c r="C145" s="49" t="s">
        <v>163</v>
      </c>
      <c r="D145" s="38" t="s">
        <v>438</v>
      </c>
      <c r="E145" s="40">
        <v>8.25</v>
      </c>
      <c r="F145" s="40">
        <v>5.125</v>
      </c>
      <c r="G145" s="40">
        <v>5.5</v>
      </c>
      <c r="H145" s="40">
        <v>0.67</v>
      </c>
      <c r="I145" s="41">
        <v>0.13457573784722221</v>
      </c>
      <c r="J145" s="38" t="s">
        <v>565</v>
      </c>
      <c r="K145" s="256">
        <v>68</v>
      </c>
      <c r="L145" s="43">
        <v>408</v>
      </c>
      <c r="M145" s="44">
        <v>7.8461538461538458</v>
      </c>
      <c r="N145" s="45">
        <v>0.11538461538461538</v>
      </c>
      <c r="O145" s="46"/>
      <c r="P145" s="46"/>
      <c r="Q145" s="46"/>
      <c r="R145" s="46" t="s">
        <v>335</v>
      </c>
      <c r="S145" s="113" t="s">
        <v>437</v>
      </c>
      <c r="T145" s="116" t="s">
        <v>579</v>
      </c>
      <c r="U145" s="113" t="s">
        <v>0</v>
      </c>
      <c r="V145" s="113"/>
    </row>
    <row r="146" spans="1:22" ht="15" customHeight="1">
      <c r="A146" s="50" t="s">
        <v>564</v>
      </c>
      <c r="B146" s="51">
        <v>45</v>
      </c>
      <c r="C146" s="47" t="s">
        <v>333</v>
      </c>
      <c r="D146" s="50" t="s">
        <v>334</v>
      </c>
      <c r="E146" s="47">
        <v>6.8</v>
      </c>
      <c r="F146" s="47">
        <v>5.125</v>
      </c>
      <c r="G146" s="47">
        <v>3</v>
      </c>
      <c r="H146" s="47">
        <v>0.37</v>
      </c>
      <c r="I146" s="52">
        <v>6.0503472222222229E-2</v>
      </c>
      <c r="J146" s="50" t="s">
        <v>565</v>
      </c>
      <c r="K146" s="257">
        <v>68</v>
      </c>
      <c r="L146" s="53">
        <v>340.00000000000006</v>
      </c>
      <c r="M146" s="54">
        <v>6.5384615384615392</v>
      </c>
      <c r="N146" s="55">
        <v>9.6153846153846159E-2</v>
      </c>
      <c r="O146" s="56"/>
      <c r="P146" s="56"/>
      <c r="Q146" s="56"/>
      <c r="R146" s="56"/>
      <c r="S146" s="113" t="s">
        <v>332</v>
      </c>
      <c r="T146" s="116" t="s">
        <v>566</v>
      </c>
      <c r="U146" s="113" t="s">
        <v>0</v>
      </c>
      <c r="V146" s="114"/>
    </row>
  </sheetData>
  <conditionalFormatting sqref="B4:B6">
    <cfRule type="expression" dxfId="7" priority="2">
      <formula>AND(ROW()-11&gt;#REF!,ROW()-11&lt;=#REF!+#REF!)</formula>
    </cfRule>
  </conditionalFormatting>
  <conditionalFormatting sqref="D4:D6">
    <cfRule type="expression" dxfId="6" priority="1">
      <formula>AND(ROW()-11&gt;#REF!,ROW()-11&lt;=#REF!+#REF!)</formula>
    </cfRule>
  </conditionalFormatting>
  <pageMargins left="0.7" right="0.7" top="0.75" bottom="0.75" header="0.3" footer="0.3"/>
  <pageSetup scale="70" orientation="landscape" verticalDpi="599"/>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BI88"/>
  <sheetViews>
    <sheetView topLeftCell="AD1" workbookViewId="0">
      <selection activeCell="A24" sqref="A24:XFD24"/>
    </sheetView>
  </sheetViews>
  <sheetFormatPr baseColWidth="10" defaultColWidth="8.83203125" defaultRowHeight="14" x14ac:dyDescent="0"/>
  <cols>
    <col min="1" max="1" width="3.6640625" style="58" customWidth="1"/>
    <col min="2" max="50" width="3.1640625" style="58" customWidth="1"/>
    <col min="51" max="51" width="1.1640625" style="58" customWidth="1"/>
    <col min="52" max="52" width="38.83203125" style="58" customWidth="1"/>
    <col min="53" max="53" width="1.1640625" style="58" customWidth="1"/>
    <col min="54" max="54" width="41.83203125" style="58" customWidth="1"/>
    <col min="55" max="59" width="8.83203125" style="58"/>
    <col min="60" max="60" width="2.6640625" style="58" customWidth="1"/>
    <col min="61" max="16384" width="8.83203125" style="58"/>
  </cols>
  <sheetData>
    <row r="1" spans="2:61" ht="24">
      <c r="B1" s="57" t="s">
        <v>652</v>
      </c>
      <c r="AZ1" s="58" t="s">
        <v>653</v>
      </c>
      <c r="BB1" s="30" t="s">
        <v>551</v>
      </c>
      <c r="BC1" s="31" t="s">
        <v>550</v>
      </c>
      <c r="BD1" s="31" t="s">
        <v>552</v>
      </c>
      <c r="BE1" s="31" t="s">
        <v>553</v>
      </c>
      <c r="BF1" s="31" t="s">
        <v>554</v>
      </c>
      <c r="BG1" s="30" t="s">
        <v>66</v>
      </c>
      <c r="BI1" s="31" t="s">
        <v>654</v>
      </c>
    </row>
    <row r="2" spans="2:61" ht="15">
      <c r="B2" s="58">
        <v>81</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Z2" s="58" t="s">
        <v>655</v>
      </c>
      <c r="BB2" s="38" t="s">
        <v>337</v>
      </c>
      <c r="BC2" s="40" t="s">
        <v>128</v>
      </c>
      <c r="BD2" s="40">
        <v>12</v>
      </c>
      <c r="BE2" s="40">
        <v>11.5</v>
      </c>
      <c r="BF2" s="40">
        <v>2.5</v>
      </c>
      <c r="BG2" s="46" t="s">
        <v>335</v>
      </c>
      <c r="BI2" s="60">
        <f>BD2*BE2</f>
        <v>138</v>
      </c>
    </row>
    <row r="3" spans="2:61" ht="15">
      <c r="B3" s="58">
        <v>80</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Z3" s="58" t="s">
        <v>656</v>
      </c>
      <c r="BB3" s="38" t="s">
        <v>400</v>
      </c>
      <c r="BC3" s="40" t="s">
        <v>153</v>
      </c>
      <c r="BD3" s="40">
        <v>3.5</v>
      </c>
      <c r="BE3" s="40">
        <v>3.5</v>
      </c>
      <c r="BF3" s="40">
        <v>11</v>
      </c>
      <c r="BG3" s="46" t="s">
        <v>335</v>
      </c>
      <c r="BI3" s="60">
        <f t="shared" ref="BI3:BI63" si="0">BD3*BE3</f>
        <v>12.25</v>
      </c>
    </row>
    <row r="4" spans="2:61" ht="15">
      <c r="B4" s="58">
        <v>79</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Z4" s="58" t="s">
        <v>657</v>
      </c>
      <c r="BB4" s="38" t="s">
        <v>343</v>
      </c>
      <c r="BC4" s="40" t="s">
        <v>131</v>
      </c>
      <c r="BD4" s="40">
        <v>12</v>
      </c>
      <c r="BE4" s="40">
        <v>11.5</v>
      </c>
      <c r="BF4" s="40">
        <v>3.5</v>
      </c>
      <c r="BG4" s="46" t="s">
        <v>335</v>
      </c>
      <c r="BI4" s="60">
        <f t="shared" si="0"/>
        <v>138</v>
      </c>
    </row>
    <row r="5" spans="2:61" ht="15">
      <c r="B5" s="58">
        <v>78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BB5" s="38" t="s">
        <v>515</v>
      </c>
      <c r="BC5" s="40" t="s">
        <v>190</v>
      </c>
      <c r="BD5" s="40">
        <v>6</v>
      </c>
      <c r="BE5" s="40">
        <v>12</v>
      </c>
      <c r="BF5" s="40">
        <v>12</v>
      </c>
      <c r="BG5" s="46" t="s">
        <v>335</v>
      </c>
      <c r="BI5" s="60">
        <f t="shared" si="0"/>
        <v>72</v>
      </c>
    </row>
    <row r="6" spans="2:61" ht="15">
      <c r="B6" s="58">
        <v>77</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BB6" s="38" t="s">
        <v>571</v>
      </c>
      <c r="BC6" s="40" t="s">
        <v>175</v>
      </c>
      <c r="BD6" s="40">
        <v>25.25</v>
      </c>
      <c r="BE6" s="40">
        <v>5</v>
      </c>
      <c r="BF6" s="40">
        <v>3</v>
      </c>
      <c r="BG6" s="46" t="s">
        <v>335</v>
      </c>
      <c r="BI6" s="60">
        <f t="shared" si="0"/>
        <v>126.25</v>
      </c>
    </row>
    <row r="7" spans="2:61" ht="15">
      <c r="B7" s="58">
        <v>76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BB7" s="38" t="s">
        <v>520</v>
      </c>
      <c r="BC7" s="40" t="s">
        <v>192</v>
      </c>
      <c r="BD7" s="40">
        <v>8.5</v>
      </c>
      <c r="BE7" s="40">
        <v>8.5</v>
      </c>
      <c r="BF7" s="40">
        <v>4.25</v>
      </c>
      <c r="BG7" s="46" t="s">
        <v>335</v>
      </c>
      <c r="BI7" s="60">
        <f t="shared" si="0"/>
        <v>72.25</v>
      </c>
    </row>
    <row r="8" spans="2:61" ht="15">
      <c r="B8" s="58">
        <v>75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Z8" s="61" t="s">
        <v>658</v>
      </c>
      <c r="BB8" s="38" t="s">
        <v>442</v>
      </c>
      <c r="BC8" s="40" t="s">
        <v>165</v>
      </c>
      <c r="BD8" s="40">
        <v>10</v>
      </c>
      <c r="BE8" s="40">
        <v>14.5</v>
      </c>
      <c r="BF8" s="40">
        <v>3.5</v>
      </c>
      <c r="BG8" s="46" t="s">
        <v>335</v>
      </c>
      <c r="BI8" s="60">
        <f t="shared" si="0"/>
        <v>145</v>
      </c>
    </row>
    <row r="9" spans="2:61" ht="15">
      <c r="B9" s="58">
        <v>74</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BB9" s="38" t="s">
        <v>441</v>
      </c>
      <c r="BC9" s="40" t="s">
        <v>443</v>
      </c>
      <c r="BD9" s="40">
        <v>10</v>
      </c>
      <c r="BE9" s="40">
        <v>14.5</v>
      </c>
      <c r="BF9" s="40">
        <v>3.5</v>
      </c>
      <c r="BG9" s="46" t="s">
        <v>335</v>
      </c>
      <c r="BI9" s="60">
        <f t="shared" si="0"/>
        <v>145</v>
      </c>
    </row>
    <row r="10" spans="2:61" ht="15">
      <c r="B10" s="58">
        <v>73</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BB10" s="38" t="s">
        <v>444</v>
      </c>
      <c r="BC10" s="40" t="s">
        <v>166</v>
      </c>
      <c r="BD10" s="40">
        <v>8.1300000000000008</v>
      </c>
      <c r="BE10" s="40">
        <v>9</v>
      </c>
      <c r="BF10" s="40">
        <v>3.5</v>
      </c>
      <c r="BG10" s="46" t="s">
        <v>335</v>
      </c>
      <c r="BI10" s="60">
        <f t="shared" si="0"/>
        <v>73.17</v>
      </c>
    </row>
    <row r="11" spans="2:61" ht="15">
      <c r="B11" s="58">
        <v>72</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BB11" s="38" t="s">
        <v>394</v>
      </c>
      <c r="BC11" s="40" t="s">
        <v>150</v>
      </c>
      <c r="BD11" s="40">
        <v>5.7</v>
      </c>
      <c r="BE11" s="40">
        <v>3.65</v>
      </c>
      <c r="BF11" s="40">
        <v>1.75</v>
      </c>
      <c r="BG11" s="46" t="s">
        <v>335</v>
      </c>
      <c r="BI11" s="60">
        <f t="shared" si="0"/>
        <v>20.805</v>
      </c>
    </row>
    <row r="12" spans="2:61" ht="15">
      <c r="B12" s="58">
        <v>71</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BB12" s="38" t="s">
        <v>396</v>
      </c>
      <c r="BC12" s="40" t="s">
        <v>151</v>
      </c>
      <c r="BD12" s="40">
        <v>12</v>
      </c>
      <c r="BE12" s="40">
        <v>6.25</v>
      </c>
      <c r="BF12" s="40">
        <v>2.5</v>
      </c>
      <c r="BG12" s="46" t="s">
        <v>335</v>
      </c>
      <c r="BI12" s="60">
        <f t="shared" si="0"/>
        <v>75</v>
      </c>
    </row>
    <row r="13" spans="2:61" ht="15">
      <c r="B13" s="58">
        <v>70</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BB13" s="38" t="s">
        <v>324</v>
      </c>
      <c r="BC13" s="40" t="s">
        <v>125</v>
      </c>
      <c r="BD13" s="40">
        <v>6.5</v>
      </c>
      <c r="BE13" s="40">
        <v>6.25</v>
      </c>
      <c r="BF13" s="40">
        <v>4.5</v>
      </c>
      <c r="BG13" s="46" t="s">
        <v>335</v>
      </c>
      <c r="BI13" s="60">
        <f t="shared" si="0"/>
        <v>40.625</v>
      </c>
    </row>
    <row r="14" spans="2:61" ht="15">
      <c r="B14" s="58">
        <v>69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BB14" s="38" t="s">
        <v>576</v>
      </c>
      <c r="BC14" s="40" t="s">
        <v>425</v>
      </c>
      <c r="BD14" s="40">
        <v>10.5</v>
      </c>
      <c r="BE14" s="40">
        <v>4.5</v>
      </c>
      <c r="BF14" s="40">
        <v>1</v>
      </c>
      <c r="BG14" s="46" t="s">
        <v>335</v>
      </c>
      <c r="BI14" s="60">
        <f t="shared" si="0"/>
        <v>47.25</v>
      </c>
    </row>
    <row r="15" spans="2:61" ht="15">
      <c r="B15" s="58">
        <v>68</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BB15" s="38" t="s">
        <v>578</v>
      </c>
      <c r="BC15" s="40" t="s">
        <v>419</v>
      </c>
      <c r="BD15" s="40">
        <v>8.5</v>
      </c>
      <c r="BE15" s="40">
        <v>4.5</v>
      </c>
      <c r="BF15" s="40">
        <v>1</v>
      </c>
      <c r="BG15" s="46" t="s">
        <v>335</v>
      </c>
      <c r="BI15" s="60">
        <f t="shared" si="0"/>
        <v>38.25</v>
      </c>
    </row>
    <row r="16" spans="2:61" ht="15">
      <c r="B16" s="58">
        <v>67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BB16" s="38" t="s">
        <v>266</v>
      </c>
      <c r="BC16" s="49" t="s">
        <v>103</v>
      </c>
      <c r="BD16" s="40">
        <v>11.75</v>
      </c>
      <c r="BE16" s="40">
        <v>5.125</v>
      </c>
      <c r="BF16" s="40">
        <v>2.75</v>
      </c>
      <c r="BG16" s="46" t="s">
        <v>335</v>
      </c>
      <c r="BI16" s="60">
        <f t="shared" si="0"/>
        <v>60.21875</v>
      </c>
    </row>
    <row r="17" spans="2:61" ht="15">
      <c r="B17" s="58">
        <v>66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BB17" s="38" t="s">
        <v>580</v>
      </c>
      <c r="BC17" s="40" t="s">
        <v>124</v>
      </c>
      <c r="BD17" s="40">
        <v>13.75</v>
      </c>
      <c r="BE17" s="40">
        <v>3.625</v>
      </c>
      <c r="BF17" s="40">
        <v>2.5</v>
      </c>
      <c r="BG17" s="46" t="s">
        <v>335</v>
      </c>
      <c r="BI17" s="60">
        <f t="shared" si="0"/>
        <v>49.84375</v>
      </c>
    </row>
    <row r="18" spans="2:61" ht="15">
      <c r="B18" s="58">
        <v>65</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BB18" s="38" t="s">
        <v>378</v>
      </c>
      <c r="BC18" s="49" t="s">
        <v>144</v>
      </c>
      <c r="BD18" s="40">
        <v>8.5</v>
      </c>
      <c r="BE18" s="40">
        <v>8.5</v>
      </c>
      <c r="BF18" s="40">
        <v>2.5</v>
      </c>
      <c r="BG18" s="46" t="s">
        <v>335</v>
      </c>
      <c r="BI18" s="60">
        <f t="shared" si="0"/>
        <v>72.25</v>
      </c>
    </row>
    <row r="19" spans="2:61" ht="15">
      <c r="B19" s="58">
        <v>64</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BB19" s="38" t="s">
        <v>405</v>
      </c>
      <c r="BC19" s="40" t="s">
        <v>155</v>
      </c>
      <c r="BD19" s="40">
        <v>9.5</v>
      </c>
      <c r="BE19" s="40">
        <v>5</v>
      </c>
      <c r="BF19" s="40">
        <v>2</v>
      </c>
      <c r="BG19" s="46" t="s">
        <v>335</v>
      </c>
      <c r="BI19" s="60">
        <f t="shared" si="0"/>
        <v>47.5</v>
      </c>
    </row>
    <row r="20" spans="2:61" ht="15">
      <c r="B20" s="58">
        <v>63</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BB20" s="38" t="s">
        <v>403</v>
      </c>
      <c r="BC20" s="40" t="s">
        <v>154</v>
      </c>
      <c r="BD20" s="40">
        <v>9.5</v>
      </c>
      <c r="BE20" s="40">
        <v>5</v>
      </c>
      <c r="BF20" s="40">
        <v>2</v>
      </c>
      <c r="BG20" s="46" t="s">
        <v>335</v>
      </c>
      <c r="BI20" s="60">
        <f t="shared" si="0"/>
        <v>47.5</v>
      </c>
    </row>
    <row r="21" spans="2:61" ht="15">
      <c r="B21" s="58">
        <v>62</v>
      </c>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BB21" s="38" t="s">
        <v>375</v>
      </c>
      <c r="BC21" s="49" t="s">
        <v>143</v>
      </c>
      <c r="BD21" s="40">
        <v>8.5</v>
      </c>
      <c r="BE21" s="40">
        <v>8.5</v>
      </c>
      <c r="BF21" s="40">
        <v>2.5</v>
      </c>
      <c r="BG21" s="46" t="s">
        <v>335</v>
      </c>
      <c r="BI21" s="60">
        <f t="shared" si="0"/>
        <v>72.25</v>
      </c>
    </row>
    <row r="22" spans="2:61" ht="15">
      <c r="B22" s="58">
        <v>61</v>
      </c>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BB22" s="38" t="s">
        <v>275</v>
      </c>
      <c r="BC22" s="49" t="s">
        <v>274</v>
      </c>
      <c r="BD22" s="40">
        <v>8</v>
      </c>
      <c r="BE22" s="40">
        <v>8</v>
      </c>
      <c r="BF22" s="40">
        <v>3.5</v>
      </c>
      <c r="BG22" s="46" t="s">
        <v>335</v>
      </c>
      <c r="BI22" s="60">
        <f t="shared" si="0"/>
        <v>64</v>
      </c>
    </row>
    <row r="23" spans="2:61" ht="15">
      <c r="B23" s="58">
        <v>60</v>
      </c>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BB23" s="38" t="s">
        <v>582</v>
      </c>
      <c r="BC23" s="40" t="s">
        <v>433</v>
      </c>
      <c r="BD23" s="40">
        <v>10.5</v>
      </c>
      <c r="BE23" s="40">
        <v>4.5</v>
      </c>
      <c r="BF23" s="40">
        <v>0.5</v>
      </c>
      <c r="BG23" s="46" t="s">
        <v>335</v>
      </c>
      <c r="BI23" s="60">
        <f t="shared" si="0"/>
        <v>47.25</v>
      </c>
    </row>
    <row r="24" spans="2:61" ht="15">
      <c r="B24" s="58">
        <v>59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BB24" s="38" t="s">
        <v>351</v>
      </c>
      <c r="BC24" s="40" t="s">
        <v>135</v>
      </c>
      <c r="BD24" s="40">
        <v>5.7</v>
      </c>
      <c r="BE24" s="40">
        <v>3.65</v>
      </c>
      <c r="BF24" s="40">
        <v>1.25</v>
      </c>
      <c r="BG24" s="46" t="s">
        <v>335</v>
      </c>
      <c r="BI24" s="60">
        <f t="shared" si="0"/>
        <v>20.805</v>
      </c>
    </row>
    <row r="25" spans="2:61" ht="15">
      <c r="B25" s="58">
        <v>58</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BB25" s="38" t="s">
        <v>369</v>
      </c>
      <c r="BC25" s="40" t="s">
        <v>140</v>
      </c>
      <c r="BD25" s="40">
        <v>7.375</v>
      </c>
      <c r="BE25" s="40">
        <v>4.875</v>
      </c>
      <c r="BF25" s="40">
        <v>4</v>
      </c>
      <c r="BG25" s="46" t="s">
        <v>335</v>
      </c>
      <c r="BI25" s="60">
        <f t="shared" si="0"/>
        <v>35.953125</v>
      </c>
    </row>
    <row r="26" spans="2:61" ht="15">
      <c r="B26" s="58">
        <v>57</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BB26" s="38" t="s">
        <v>583</v>
      </c>
      <c r="BC26" s="40" t="s">
        <v>186</v>
      </c>
      <c r="BD26" s="40">
        <v>5.4</v>
      </c>
      <c r="BE26" s="40">
        <v>5.3</v>
      </c>
      <c r="BF26" s="40">
        <v>1.25</v>
      </c>
      <c r="BG26" s="46" t="s">
        <v>335</v>
      </c>
      <c r="BI26" s="60">
        <f t="shared" si="0"/>
        <v>28.62</v>
      </c>
    </row>
    <row r="27" spans="2:61" ht="15">
      <c r="B27" s="58">
        <v>56</v>
      </c>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BB27" s="38" t="s">
        <v>269</v>
      </c>
      <c r="BC27" s="49" t="s">
        <v>105</v>
      </c>
      <c r="BD27" s="40">
        <v>6.8</v>
      </c>
      <c r="BE27" s="40">
        <v>5.125</v>
      </c>
      <c r="BF27" s="40">
        <v>2.75</v>
      </c>
      <c r="BG27" s="46" t="s">
        <v>335</v>
      </c>
      <c r="BI27" s="60">
        <f t="shared" si="0"/>
        <v>34.85</v>
      </c>
    </row>
    <row r="28" spans="2:61" ht="15">
      <c r="B28" s="58">
        <v>55</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BB28" s="38" t="s">
        <v>585</v>
      </c>
      <c r="BC28" s="49" t="s">
        <v>138</v>
      </c>
      <c r="BD28" s="40">
        <v>10.25</v>
      </c>
      <c r="BE28" s="40">
        <v>3.65</v>
      </c>
      <c r="BF28" s="40">
        <v>2.25</v>
      </c>
      <c r="BG28" s="46" t="s">
        <v>335</v>
      </c>
      <c r="BI28" s="60">
        <f t="shared" si="0"/>
        <v>37.412500000000001</v>
      </c>
    </row>
    <row r="29" spans="2:61" ht="15">
      <c r="B29" s="58">
        <v>54</v>
      </c>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BB29" s="38" t="s">
        <v>586</v>
      </c>
      <c r="BC29" s="49" t="s">
        <v>145</v>
      </c>
      <c r="BD29" s="40">
        <v>5.7</v>
      </c>
      <c r="BE29" s="40">
        <v>3.65</v>
      </c>
      <c r="BF29" s="40">
        <v>3</v>
      </c>
      <c r="BG29" s="46" t="s">
        <v>335</v>
      </c>
      <c r="BI29" s="60">
        <f t="shared" si="0"/>
        <v>20.805</v>
      </c>
    </row>
    <row r="30" spans="2:61" ht="15">
      <c r="B30" s="58">
        <v>53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BB30" s="38" t="s">
        <v>587</v>
      </c>
      <c r="BC30" s="40" t="s">
        <v>170</v>
      </c>
      <c r="BD30" s="40">
        <v>7.375</v>
      </c>
      <c r="BE30" s="40">
        <v>4.875</v>
      </c>
      <c r="BF30" s="40">
        <v>2</v>
      </c>
      <c r="BG30" s="46" t="s">
        <v>335</v>
      </c>
      <c r="BI30" s="60">
        <f t="shared" si="0"/>
        <v>35.953125</v>
      </c>
    </row>
    <row r="31" spans="2:61" ht="15">
      <c r="B31" s="58">
        <v>52</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BB31" s="38" t="s">
        <v>588</v>
      </c>
      <c r="BC31" s="40" t="s">
        <v>108</v>
      </c>
      <c r="BD31" s="40">
        <v>5.7</v>
      </c>
      <c r="BE31" s="40">
        <v>3.65</v>
      </c>
      <c r="BF31" s="40">
        <v>1</v>
      </c>
      <c r="BG31" s="46" t="s">
        <v>335</v>
      </c>
      <c r="BI31" s="60">
        <f t="shared" si="0"/>
        <v>20.805</v>
      </c>
    </row>
    <row r="32" spans="2:61" ht="15">
      <c r="B32" s="58">
        <v>51</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BB32" s="38" t="s">
        <v>589</v>
      </c>
      <c r="BC32" s="40" t="s">
        <v>174</v>
      </c>
      <c r="BD32" s="40">
        <v>7.375</v>
      </c>
      <c r="BE32" s="40">
        <v>5</v>
      </c>
      <c r="BF32" s="40">
        <v>3</v>
      </c>
      <c r="BG32" s="46" t="s">
        <v>335</v>
      </c>
      <c r="BI32" s="60">
        <f t="shared" si="0"/>
        <v>36.875</v>
      </c>
    </row>
    <row r="33" spans="2:61" ht="15">
      <c r="B33" s="58">
        <v>50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BB33" s="38" t="s">
        <v>362</v>
      </c>
      <c r="BC33" s="40" t="s">
        <v>139</v>
      </c>
      <c r="BD33" s="40">
        <v>7.375</v>
      </c>
      <c r="BE33" s="40">
        <v>4.875</v>
      </c>
      <c r="BF33" s="40">
        <v>1</v>
      </c>
      <c r="BG33" s="46" t="s">
        <v>335</v>
      </c>
      <c r="BI33" s="60">
        <f t="shared" si="0"/>
        <v>35.953125</v>
      </c>
    </row>
    <row r="34" spans="2:61" ht="15">
      <c r="B34" s="58">
        <v>49</v>
      </c>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BB34" s="38" t="s">
        <v>224</v>
      </c>
      <c r="BC34" s="40" t="s">
        <v>90</v>
      </c>
      <c r="BD34" s="40">
        <v>6.5</v>
      </c>
      <c r="BE34" s="40">
        <v>3.65</v>
      </c>
      <c r="BF34" s="40">
        <v>3</v>
      </c>
      <c r="BG34" s="46" t="s">
        <v>335</v>
      </c>
      <c r="BI34" s="60">
        <f t="shared" si="0"/>
        <v>23.724999999999998</v>
      </c>
    </row>
    <row r="35" spans="2:61" ht="15">
      <c r="B35" s="58">
        <v>48</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BB35" s="38" t="s">
        <v>286</v>
      </c>
      <c r="BC35" s="40" t="s">
        <v>110</v>
      </c>
      <c r="BD35" s="40">
        <v>5.7</v>
      </c>
      <c r="BE35" s="40">
        <v>3.65</v>
      </c>
      <c r="BF35" s="40">
        <v>0.75</v>
      </c>
      <c r="BG35" s="46" t="s">
        <v>335</v>
      </c>
      <c r="BI35" s="60">
        <f t="shared" si="0"/>
        <v>20.805</v>
      </c>
    </row>
    <row r="36" spans="2:61" ht="15">
      <c r="B36" s="58">
        <v>47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BB36" s="38" t="s">
        <v>479</v>
      </c>
      <c r="BC36" s="40" t="s">
        <v>171</v>
      </c>
      <c r="BD36" s="40">
        <v>7.375</v>
      </c>
      <c r="BE36" s="40">
        <v>4.875</v>
      </c>
      <c r="BF36" s="40">
        <v>3</v>
      </c>
      <c r="BG36" s="46" t="s">
        <v>335</v>
      </c>
      <c r="BI36" s="60">
        <f t="shared" si="0"/>
        <v>35.953125</v>
      </c>
    </row>
    <row r="37" spans="2:61" ht="15">
      <c r="B37" s="58">
        <v>46</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BB37" s="38" t="s">
        <v>492</v>
      </c>
      <c r="BC37" s="49" t="s">
        <v>176</v>
      </c>
      <c r="BD37" s="40">
        <v>5.7</v>
      </c>
      <c r="BE37" s="40">
        <v>3.65</v>
      </c>
      <c r="BF37" s="40">
        <v>3</v>
      </c>
      <c r="BG37" s="46" t="s">
        <v>335</v>
      </c>
      <c r="BI37" s="60">
        <f t="shared" si="0"/>
        <v>20.805</v>
      </c>
    </row>
    <row r="38" spans="2:61" ht="15">
      <c r="B38" s="58">
        <v>45</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BB38" s="38" t="s">
        <v>221</v>
      </c>
      <c r="BC38" s="40" t="s">
        <v>89</v>
      </c>
      <c r="BD38" s="40">
        <v>6.5</v>
      </c>
      <c r="BE38" s="40">
        <v>3.65</v>
      </c>
      <c r="BF38" s="40">
        <v>2.25</v>
      </c>
      <c r="BG38" s="46" t="s">
        <v>335</v>
      </c>
      <c r="BI38" s="60">
        <f t="shared" si="0"/>
        <v>23.724999999999998</v>
      </c>
    </row>
    <row r="39" spans="2:61" ht="15">
      <c r="B39" s="58">
        <v>44</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BB39" s="38" t="s">
        <v>288</v>
      </c>
      <c r="BC39" s="40" t="s">
        <v>112</v>
      </c>
      <c r="BD39" s="40">
        <v>5.7</v>
      </c>
      <c r="BE39" s="40">
        <v>3.65</v>
      </c>
      <c r="BF39" s="40">
        <v>0.75</v>
      </c>
      <c r="BG39" s="46" t="s">
        <v>335</v>
      </c>
      <c r="BI39" s="60">
        <f t="shared" si="0"/>
        <v>20.805</v>
      </c>
    </row>
    <row r="40" spans="2:61" ht="15">
      <c r="B40" s="58">
        <v>43</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BB40" s="38" t="s">
        <v>592</v>
      </c>
      <c r="BC40" s="40" t="s">
        <v>172</v>
      </c>
      <c r="BD40" s="40">
        <v>7.375</v>
      </c>
      <c r="BE40" s="40">
        <v>4.875</v>
      </c>
      <c r="BF40" s="40">
        <v>3</v>
      </c>
      <c r="BG40" s="46" t="s">
        <v>335</v>
      </c>
      <c r="BI40" s="60">
        <f t="shared" si="0"/>
        <v>35.953125</v>
      </c>
    </row>
    <row r="41" spans="2:61" ht="15">
      <c r="B41" s="58">
        <v>42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BB41" s="38" t="s">
        <v>593</v>
      </c>
      <c r="BC41" s="40" t="s">
        <v>132</v>
      </c>
      <c r="BD41" s="40">
        <v>5.7</v>
      </c>
      <c r="BE41" s="40">
        <v>3.65</v>
      </c>
      <c r="BF41" s="40">
        <v>1.75</v>
      </c>
      <c r="BG41" s="46" t="s">
        <v>335</v>
      </c>
      <c r="BI41" s="60">
        <f t="shared" si="0"/>
        <v>20.805</v>
      </c>
    </row>
    <row r="42" spans="2:61" ht="15">
      <c r="B42" s="58">
        <v>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BB42" s="38" t="s">
        <v>216</v>
      </c>
      <c r="BC42" s="40" t="s">
        <v>83</v>
      </c>
      <c r="BD42" s="40">
        <v>5.7</v>
      </c>
      <c r="BE42" s="40">
        <v>3.65</v>
      </c>
      <c r="BF42" s="40">
        <v>2</v>
      </c>
      <c r="BG42" s="46" t="s">
        <v>335</v>
      </c>
      <c r="BI42" s="60">
        <f t="shared" si="0"/>
        <v>20.805</v>
      </c>
    </row>
    <row r="43" spans="2:61" ht="15">
      <c r="B43" s="58">
        <v>40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BB43" s="38" t="s">
        <v>290</v>
      </c>
      <c r="BC43" s="40" t="s">
        <v>114</v>
      </c>
      <c r="BD43" s="40">
        <v>5.7</v>
      </c>
      <c r="BE43" s="40">
        <v>3.65</v>
      </c>
      <c r="BF43" s="40">
        <v>0.75</v>
      </c>
      <c r="BG43" s="46" t="s">
        <v>335</v>
      </c>
      <c r="BI43" s="60">
        <f t="shared" si="0"/>
        <v>20.805</v>
      </c>
    </row>
    <row r="44" spans="2:61" ht="15">
      <c r="B44" s="58">
        <v>39</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BB44" s="38" t="s">
        <v>373</v>
      </c>
      <c r="BC44" s="40" t="s">
        <v>142</v>
      </c>
      <c r="BD44" s="40">
        <v>5.7</v>
      </c>
      <c r="BE44" s="40">
        <v>3.65</v>
      </c>
      <c r="BF44" s="40">
        <v>3.5</v>
      </c>
      <c r="BG44" s="46" t="s">
        <v>335</v>
      </c>
      <c r="BI44" s="60">
        <f t="shared" si="0"/>
        <v>20.805</v>
      </c>
    </row>
    <row r="45" spans="2:61" ht="15">
      <c r="B45" s="58">
        <v>38</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BB45" s="38" t="s">
        <v>494</v>
      </c>
      <c r="BC45" s="40" t="s">
        <v>177</v>
      </c>
      <c r="BD45" s="40">
        <v>5.7</v>
      </c>
      <c r="BE45" s="40">
        <v>3.65</v>
      </c>
      <c r="BF45" s="40">
        <v>3.75</v>
      </c>
      <c r="BG45" s="46" t="s">
        <v>335</v>
      </c>
      <c r="BI45" s="60">
        <f t="shared" si="0"/>
        <v>20.805</v>
      </c>
    </row>
    <row r="46" spans="2:61" ht="15">
      <c r="B46" s="58">
        <v>37</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BB46" s="38" t="s">
        <v>594</v>
      </c>
      <c r="BC46" s="40" t="s">
        <v>157</v>
      </c>
      <c r="BD46" s="40">
        <v>5.7</v>
      </c>
      <c r="BE46" s="40">
        <v>3.65</v>
      </c>
      <c r="BF46" s="40">
        <v>1.5</v>
      </c>
      <c r="BG46" s="46" t="s">
        <v>335</v>
      </c>
      <c r="BI46" s="60">
        <f t="shared" si="0"/>
        <v>20.805</v>
      </c>
    </row>
    <row r="47" spans="2:61" ht="15">
      <c r="B47" s="58">
        <v>36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BB47" s="38" t="s">
        <v>299</v>
      </c>
      <c r="BC47" s="40" t="s">
        <v>116</v>
      </c>
      <c r="BD47" s="40">
        <v>5.7</v>
      </c>
      <c r="BE47" s="40">
        <v>3.65</v>
      </c>
      <c r="BF47" s="40">
        <v>1</v>
      </c>
      <c r="BG47" s="46" t="s">
        <v>335</v>
      </c>
      <c r="BI47" s="60">
        <f t="shared" si="0"/>
        <v>20.805</v>
      </c>
    </row>
    <row r="48" spans="2:61" ht="15">
      <c r="B48" s="58">
        <v>35</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BB48" s="38" t="s">
        <v>596</v>
      </c>
      <c r="BC48" s="40" t="s">
        <v>173</v>
      </c>
      <c r="BD48" s="40">
        <v>7.375</v>
      </c>
      <c r="BE48" s="40">
        <v>4.875</v>
      </c>
      <c r="BF48" s="40">
        <v>3</v>
      </c>
      <c r="BG48" s="46" t="s">
        <v>335</v>
      </c>
      <c r="BI48" s="60">
        <f t="shared" si="0"/>
        <v>35.953125</v>
      </c>
    </row>
    <row r="49" spans="2:61" ht="15">
      <c r="B49" s="58">
        <v>34</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BB49" s="38" t="s">
        <v>597</v>
      </c>
      <c r="BC49" s="49" t="s">
        <v>74</v>
      </c>
      <c r="BD49" s="40">
        <v>10.25</v>
      </c>
      <c r="BE49" s="40">
        <v>3.65</v>
      </c>
      <c r="BF49" s="40">
        <v>2.38</v>
      </c>
      <c r="BG49" s="46" t="s">
        <v>335</v>
      </c>
      <c r="BI49" s="60">
        <f t="shared" si="0"/>
        <v>37.412500000000001</v>
      </c>
    </row>
    <row r="50" spans="2:61" ht="15">
      <c r="B50" s="58">
        <v>33</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BB50" s="38" t="s">
        <v>301</v>
      </c>
      <c r="BC50" s="40" t="s">
        <v>117</v>
      </c>
      <c r="BD50" s="40">
        <v>5.7</v>
      </c>
      <c r="BE50" s="40">
        <v>3.65</v>
      </c>
      <c r="BF50" s="40">
        <v>1</v>
      </c>
      <c r="BG50" s="46" t="s">
        <v>335</v>
      </c>
      <c r="BI50" s="60">
        <f t="shared" si="0"/>
        <v>20.805</v>
      </c>
    </row>
    <row r="51" spans="2:61" ht="15">
      <c r="B51" s="58">
        <v>32</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BB51" s="38" t="s">
        <v>598</v>
      </c>
      <c r="BC51" s="40" t="s">
        <v>168</v>
      </c>
      <c r="BD51" s="40">
        <v>10.25</v>
      </c>
      <c r="BE51" s="40">
        <v>3.65</v>
      </c>
      <c r="BF51" s="40">
        <v>2.38</v>
      </c>
      <c r="BG51" s="46" t="s">
        <v>335</v>
      </c>
      <c r="BI51" s="60">
        <f t="shared" si="0"/>
        <v>37.412500000000001</v>
      </c>
    </row>
    <row r="52" spans="2:61" ht="15">
      <c r="B52" s="58">
        <v>31</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BB52" s="38" t="s">
        <v>213</v>
      </c>
      <c r="BC52" s="40" t="s">
        <v>81</v>
      </c>
      <c r="BD52" s="40">
        <v>5.7</v>
      </c>
      <c r="BE52" s="40">
        <v>3.65</v>
      </c>
      <c r="BF52" s="40">
        <v>1.5</v>
      </c>
      <c r="BG52" s="46" t="s">
        <v>335</v>
      </c>
      <c r="BI52" s="60">
        <f t="shared" si="0"/>
        <v>20.805</v>
      </c>
    </row>
    <row r="53" spans="2:61" ht="15">
      <c r="B53" s="58">
        <v>30</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BB53" s="38" t="s">
        <v>398</v>
      </c>
      <c r="BC53" s="40" t="s">
        <v>152</v>
      </c>
      <c r="BD53" s="40">
        <v>12</v>
      </c>
      <c r="BE53" s="40">
        <v>6.25</v>
      </c>
      <c r="BF53" s="40">
        <v>2.5</v>
      </c>
      <c r="BG53" s="46" t="s">
        <v>335</v>
      </c>
      <c r="BI53" s="60">
        <f t="shared" si="0"/>
        <v>75</v>
      </c>
    </row>
    <row r="54" spans="2:61" ht="15">
      <c r="B54" s="58">
        <v>29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BB54" s="38" t="s">
        <v>522</v>
      </c>
      <c r="BC54" s="40" t="s">
        <v>193</v>
      </c>
      <c r="BD54" s="40">
        <v>5.7</v>
      </c>
      <c r="BE54" s="40">
        <v>3.65</v>
      </c>
      <c r="BF54" s="40">
        <v>0.5</v>
      </c>
      <c r="BG54" s="46" t="s">
        <v>335</v>
      </c>
      <c r="BI54" s="60">
        <f t="shared" si="0"/>
        <v>20.805</v>
      </c>
    </row>
    <row r="55" spans="2:61" ht="15">
      <c r="B55" s="58">
        <v>28</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BB55" s="38" t="s">
        <v>506</v>
      </c>
      <c r="BC55" s="40" t="s">
        <v>184</v>
      </c>
      <c r="BD55" s="40">
        <v>5.7</v>
      </c>
      <c r="BE55" s="40">
        <v>3.65</v>
      </c>
      <c r="BF55" s="40">
        <v>3.5</v>
      </c>
      <c r="BG55" s="46" t="s">
        <v>335</v>
      </c>
      <c r="BI55" s="60">
        <f t="shared" si="0"/>
        <v>20.805</v>
      </c>
    </row>
    <row r="56" spans="2:61" ht="15">
      <c r="B56" s="58">
        <v>27</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BB56" s="38" t="s">
        <v>498</v>
      </c>
      <c r="BC56" s="49" t="s">
        <v>179</v>
      </c>
      <c r="BD56" s="40">
        <v>5.7</v>
      </c>
      <c r="BE56" s="40">
        <v>3.65</v>
      </c>
      <c r="BF56" s="40">
        <v>1.25</v>
      </c>
      <c r="BG56" s="46" t="s">
        <v>335</v>
      </c>
      <c r="BI56" s="60">
        <f t="shared" si="0"/>
        <v>20.805</v>
      </c>
    </row>
    <row r="57" spans="2:61" ht="15">
      <c r="B57" s="58">
        <v>26</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BB57" s="38" t="s">
        <v>253</v>
      </c>
      <c r="BC57" s="40" t="s">
        <v>94</v>
      </c>
      <c r="BD57" s="40">
        <v>5.7</v>
      </c>
      <c r="BE57" s="40">
        <v>3.65</v>
      </c>
      <c r="BF57" s="40">
        <v>0.3</v>
      </c>
      <c r="BG57" s="46" t="s">
        <v>335</v>
      </c>
      <c r="BI57" s="60">
        <f t="shared" si="0"/>
        <v>20.805</v>
      </c>
    </row>
    <row r="58" spans="2:61" ht="15">
      <c r="B58" s="58">
        <v>25</v>
      </c>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BB58" s="38" t="s">
        <v>605</v>
      </c>
      <c r="BC58" s="49" t="s">
        <v>167</v>
      </c>
      <c r="BD58" s="40">
        <v>4.375</v>
      </c>
      <c r="BE58" s="40">
        <v>3.65</v>
      </c>
      <c r="BF58" s="40">
        <v>1.35</v>
      </c>
      <c r="BG58" s="46" t="s">
        <v>335</v>
      </c>
      <c r="BI58" s="60">
        <f t="shared" si="0"/>
        <v>15.96875</v>
      </c>
    </row>
    <row r="59" spans="2:61" ht="15">
      <c r="B59" s="58">
        <v>24</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BB59" s="38" t="s">
        <v>606</v>
      </c>
      <c r="BC59" s="49" t="s">
        <v>79</v>
      </c>
      <c r="BD59" s="40">
        <v>4.375</v>
      </c>
      <c r="BE59" s="40">
        <v>3.65</v>
      </c>
      <c r="BF59" s="40">
        <v>1.38</v>
      </c>
      <c r="BG59" s="46" t="s">
        <v>335</v>
      </c>
      <c r="BI59" s="60">
        <f t="shared" si="0"/>
        <v>15.96875</v>
      </c>
    </row>
    <row r="60" spans="2:61" ht="15">
      <c r="B60" s="58">
        <v>23</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BB60" s="38" t="s">
        <v>607</v>
      </c>
      <c r="BC60" s="40" t="s">
        <v>169</v>
      </c>
      <c r="BD60" s="40">
        <v>4.375</v>
      </c>
      <c r="BE60" s="40">
        <v>3.65</v>
      </c>
      <c r="BF60" s="40">
        <v>1.35</v>
      </c>
      <c r="BG60" s="46" t="s">
        <v>335</v>
      </c>
      <c r="BI60" s="60">
        <f t="shared" si="0"/>
        <v>15.96875</v>
      </c>
    </row>
    <row r="61" spans="2:61" ht="15">
      <c r="B61" s="58">
        <v>22</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BB61" s="38" t="s">
        <v>645</v>
      </c>
      <c r="BC61" s="40" t="s">
        <v>195</v>
      </c>
      <c r="BD61" s="40">
        <v>5.7</v>
      </c>
      <c r="BE61" s="40">
        <v>3.65</v>
      </c>
      <c r="BF61" s="40">
        <v>1</v>
      </c>
      <c r="BG61" s="46" t="s">
        <v>335</v>
      </c>
      <c r="BI61" s="60">
        <f t="shared" si="0"/>
        <v>20.805</v>
      </c>
    </row>
    <row r="62" spans="2:61" ht="15">
      <c r="B62" s="58">
        <v>21</v>
      </c>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BB62" s="38" t="s">
        <v>271</v>
      </c>
      <c r="BC62" s="49" t="s">
        <v>107</v>
      </c>
      <c r="BD62" s="40">
        <v>8</v>
      </c>
      <c r="BE62" s="40">
        <v>8</v>
      </c>
      <c r="BF62" s="40">
        <v>3.5</v>
      </c>
      <c r="BG62" s="46" t="s">
        <v>335</v>
      </c>
      <c r="BI62" s="60">
        <f t="shared" si="0"/>
        <v>64</v>
      </c>
    </row>
    <row r="63" spans="2:61" ht="15">
      <c r="B63" s="58">
        <v>20</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BB63" s="38" t="s">
        <v>611</v>
      </c>
      <c r="BC63" s="49" t="s">
        <v>86</v>
      </c>
      <c r="BD63" s="40">
        <v>5.7</v>
      </c>
      <c r="BE63" s="40">
        <v>3.65</v>
      </c>
      <c r="BF63" s="40">
        <v>3</v>
      </c>
      <c r="BG63" s="46" t="s">
        <v>612</v>
      </c>
      <c r="BI63" s="60">
        <f t="shared" si="0"/>
        <v>20.805</v>
      </c>
    </row>
    <row r="64" spans="2:61">
      <c r="B64" s="58">
        <v>19</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row>
    <row r="65" spans="2:61" ht="15">
      <c r="B65" s="58">
        <v>18</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BG65" s="62" t="s">
        <v>659</v>
      </c>
      <c r="BI65" s="63">
        <f>SUM(BI2:BI64)</f>
        <v>2704.2249999999972</v>
      </c>
    </row>
    <row r="66" spans="2:61">
      <c r="B66" s="58">
        <v>17</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BI66" s="63"/>
    </row>
    <row r="67" spans="2:61">
      <c r="B67" s="58">
        <v>16</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BG67" s="64" t="s">
        <v>660</v>
      </c>
      <c r="BI67" s="63">
        <f>48*75</f>
        <v>3600</v>
      </c>
    </row>
    <row r="68" spans="2:61">
      <c r="B68" s="58">
        <v>15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BG68" s="64" t="s">
        <v>661</v>
      </c>
      <c r="BI68" s="63">
        <f>BI67*0.9</f>
        <v>3240</v>
      </c>
    </row>
    <row r="69" spans="2:61">
      <c r="B69" s="58">
        <v>14</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BI69" s="63"/>
    </row>
    <row r="70" spans="2:61">
      <c r="B70" s="58">
        <v>13</v>
      </c>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BG70" s="61" t="s">
        <v>662</v>
      </c>
      <c r="BI70" s="63"/>
    </row>
    <row r="71" spans="2:61">
      <c r="B71" s="58">
        <v>12</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BG71" s="58" t="s">
        <v>663</v>
      </c>
    </row>
    <row r="72" spans="2:61">
      <c r="B72" s="58">
        <v>11</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row>
    <row r="73" spans="2:61">
      <c r="B73" s="58">
        <v>10</v>
      </c>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row>
    <row r="74" spans="2:61">
      <c r="B74" s="58">
        <v>9</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2:61">
      <c r="B75" s="58">
        <v>8</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row>
    <row r="76" spans="2:61">
      <c r="B76" s="58">
        <v>7</v>
      </c>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61">
      <c r="B77" s="58">
        <v>6</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row>
    <row r="78" spans="2:61">
      <c r="B78" s="58">
        <v>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row>
    <row r="79" spans="2:61">
      <c r="B79" s="58">
        <v>4</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row>
    <row r="80" spans="2:61">
      <c r="B80" s="58">
        <v>3</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row>
    <row r="81" spans="2:50">
      <c r="B81" s="58">
        <v>2</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row>
    <row r="82" spans="2:50">
      <c r="B82" s="58">
        <v>1</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row>
    <row r="83" spans="2:50">
      <c r="C83" s="284" t="s">
        <v>664</v>
      </c>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row>
    <row r="84" spans="2:50">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row>
    <row r="85" spans="2:50">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row>
    <row r="86" spans="2:50">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row>
    <row r="87" spans="2:50">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row>
    <row r="88" spans="2:50">
      <c r="C88" s="285" t="s">
        <v>665</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row>
  </sheetData>
  <mergeCells count="2">
    <mergeCell ref="C83:AX84"/>
    <mergeCell ref="C88:AX88"/>
  </mergeCells>
  <conditionalFormatting sqref="BB2:BB3">
    <cfRule type="expression" dxfId="5" priority="2">
      <formula>AND(ROW()-11&gt;#REF!,ROW()-11&lt;=#REF!+#REF!)</formula>
    </cfRule>
  </conditionalFormatting>
  <conditionalFormatting sqref="BB63">
    <cfRule type="expression" dxfId="4" priority="1">
      <formula>AND(ROW()-11&gt;#REF!,ROW()-11&lt;=#REF!+#REF!)</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B1:BI88"/>
  <sheetViews>
    <sheetView topLeftCell="AU1" workbookViewId="0">
      <selection activeCell="A24" sqref="A24:XFD24"/>
    </sheetView>
  </sheetViews>
  <sheetFormatPr baseColWidth="10" defaultColWidth="8.83203125" defaultRowHeight="14" x14ac:dyDescent="0"/>
  <cols>
    <col min="1" max="1" width="3.6640625" style="58" customWidth="1"/>
    <col min="2" max="50" width="3.1640625" style="58" customWidth="1"/>
    <col min="51" max="51" width="1.1640625" style="58" customWidth="1"/>
    <col min="52" max="52" width="38.83203125" style="58" customWidth="1"/>
    <col min="53" max="53" width="1.5" style="58" customWidth="1"/>
    <col min="54" max="54" width="41.83203125" style="58" customWidth="1"/>
    <col min="55" max="59" width="8.83203125" style="58"/>
    <col min="60" max="60" width="1.33203125" style="58" customWidth="1"/>
    <col min="61" max="16384" width="8.83203125" style="58"/>
  </cols>
  <sheetData>
    <row r="1" spans="2:61" ht="24">
      <c r="B1" s="57" t="s">
        <v>652</v>
      </c>
      <c r="AZ1" s="58" t="s">
        <v>653</v>
      </c>
      <c r="BB1" s="30" t="s">
        <v>551</v>
      </c>
      <c r="BC1" s="31" t="s">
        <v>550</v>
      </c>
      <c r="BD1" s="31" t="s">
        <v>552</v>
      </c>
      <c r="BE1" s="31" t="s">
        <v>553</v>
      </c>
      <c r="BF1" s="31" t="s">
        <v>554</v>
      </c>
      <c r="BG1" s="30" t="s">
        <v>67</v>
      </c>
      <c r="BI1" s="31" t="s">
        <v>654</v>
      </c>
    </row>
    <row r="2" spans="2:61" ht="15">
      <c r="B2" s="58">
        <v>81</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Z2" s="58" t="s">
        <v>655</v>
      </c>
      <c r="BB2" s="38" t="s">
        <v>442</v>
      </c>
      <c r="BC2" s="40" t="s">
        <v>165</v>
      </c>
      <c r="BD2" s="40">
        <v>10</v>
      </c>
      <c r="BE2" s="40">
        <v>14.5</v>
      </c>
      <c r="BF2" s="40">
        <v>3.5</v>
      </c>
      <c r="BG2" s="46" t="s">
        <v>335</v>
      </c>
      <c r="BI2" s="60">
        <f>BD2*BE2</f>
        <v>145</v>
      </c>
    </row>
    <row r="3" spans="2:61" ht="15">
      <c r="B3" s="58">
        <v>80</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Z3" s="58" t="s">
        <v>656</v>
      </c>
      <c r="BB3" s="38" t="s">
        <v>441</v>
      </c>
      <c r="BC3" s="40" t="s">
        <v>443</v>
      </c>
      <c r="BD3" s="40">
        <v>10</v>
      </c>
      <c r="BE3" s="40">
        <v>14.5</v>
      </c>
      <c r="BF3" s="40">
        <v>3.5</v>
      </c>
      <c r="BG3" s="46" t="s">
        <v>335</v>
      </c>
      <c r="BI3" s="60">
        <f t="shared" ref="BI3:BI40" si="0">BD3*BE3</f>
        <v>145</v>
      </c>
    </row>
    <row r="4" spans="2:61" ht="15">
      <c r="B4" s="58">
        <v>79</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Z4" s="58" t="s">
        <v>657</v>
      </c>
      <c r="BB4" s="38" t="s">
        <v>444</v>
      </c>
      <c r="BC4" s="40" t="s">
        <v>166</v>
      </c>
      <c r="BD4" s="40">
        <v>8.1300000000000008</v>
      </c>
      <c r="BE4" s="40">
        <v>9</v>
      </c>
      <c r="BF4" s="40">
        <v>3.5</v>
      </c>
      <c r="BG4" s="46" t="s">
        <v>335</v>
      </c>
      <c r="BI4" s="60">
        <f t="shared" si="0"/>
        <v>73.17</v>
      </c>
    </row>
    <row r="5" spans="2:61" ht="15">
      <c r="B5" s="58">
        <v>78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BB5" s="38" t="s">
        <v>576</v>
      </c>
      <c r="BC5" s="40" t="s">
        <v>425</v>
      </c>
      <c r="BD5" s="40">
        <v>10.5</v>
      </c>
      <c r="BE5" s="40">
        <v>4.5</v>
      </c>
      <c r="BF5" s="40">
        <v>1</v>
      </c>
      <c r="BG5" s="46" t="s">
        <v>335</v>
      </c>
      <c r="BI5" s="60">
        <f t="shared" si="0"/>
        <v>47.25</v>
      </c>
    </row>
    <row r="6" spans="2:61" ht="15">
      <c r="B6" s="58">
        <v>77</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BB6" s="38" t="s">
        <v>578</v>
      </c>
      <c r="BC6" s="40" t="s">
        <v>419</v>
      </c>
      <c r="BD6" s="40">
        <v>8.5</v>
      </c>
      <c r="BE6" s="40">
        <v>4.5</v>
      </c>
      <c r="BF6" s="40">
        <v>1</v>
      </c>
      <c r="BG6" s="46" t="s">
        <v>335</v>
      </c>
      <c r="BI6" s="60">
        <f t="shared" si="0"/>
        <v>38.25</v>
      </c>
    </row>
    <row r="7" spans="2:61" ht="15">
      <c r="B7" s="58">
        <v>76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BB7" s="38" t="s">
        <v>580</v>
      </c>
      <c r="BC7" s="40" t="s">
        <v>124</v>
      </c>
      <c r="BD7" s="40">
        <v>13.75</v>
      </c>
      <c r="BE7" s="40">
        <v>3.625</v>
      </c>
      <c r="BF7" s="40">
        <v>2.5</v>
      </c>
      <c r="BG7" s="46" t="s">
        <v>335</v>
      </c>
      <c r="BI7" s="60">
        <f t="shared" si="0"/>
        <v>49.84375</v>
      </c>
    </row>
    <row r="8" spans="2:61" ht="15">
      <c r="B8" s="58">
        <v>75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Z8" s="61" t="s">
        <v>658</v>
      </c>
      <c r="BB8" s="38" t="s">
        <v>378</v>
      </c>
      <c r="BC8" s="49" t="s">
        <v>144</v>
      </c>
      <c r="BD8" s="40">
        <v>8.5</v>
      </c>
      <c r="BE8" s="40">
        <v>8.5</v>
      </c>
      <c r="BF8" s="40">
        <v>2.5</v>
      </c>
      <c r="BG8" s="46" t="s">
        <v>335</v>
      </c>
      <c r="BI8" s="60">
        <f t="shared" si="0"/>
        <v>72.25</v>
      </c>
    </row>
    <row r="9" spans="2:61" ht="15">
      <c r="B9" s="58">
        <v>74</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BB9" s="38" t="s">
        <v>582</v>
      </c>
      <c r="BC9" s="40" t="s">
        <v>433</v>
      </c>
      <c r="BD9" s="40">
        <v>10.5</v>
      </c>
      <c r="BE9" s="40">
        <v>4.5</v>
      </c>
      <c r="BF9" s="40">
        <v>0.5</v>
      </c>
      <c r="BG9" s="46" t="s">
        <v>335</v>
      </c>
      <c r="BI9" s="60">
        <f t="shared" si="0"/>
        <v>47.25</v>
      </c>
    </row>
    <row r="10" spans="2:61" ht="15">
      <c r="B10" s="58">
        <v>73</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BB10" s="38" t="s">
        <v>390</v>
      </c>
      <c r="BC10" s="40" t="s">
        <v>148</v>
      </c>
      <c r="BD10" s="40">
        <v>4</v>
      </c>
      <c r="BE10" s="40">
        <v>6</v>
      </c>
      <c r="BF10" s="40">
        <v>11</v>
      </c>
      <c r="BG10" s="46" t="s">
        <v>335</v>
      </c>
      <c r="BI10" s="60">
        <f t="shared" si="0"/>
        <v>24</v>
      </c>
    </row>
    <row r="11" spans="2:61" ht="15">
      <c r="B11" s="58">
        <v>72</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BB11" s="38" t="s">
        <v>392</v>
      </c>
      <c r="BC11" s="40" t="s">
        <v>149</v>
      </c>
      <c r="BD11" s="40">
        <v>4</v>
      </c>
      <c r="BE11" s="40">
        <v>6</v>
      </c>
      <c r="BF11" s="40">
        <v>11</v>
      </c>
      <c r="BG11" s="46" t="s">
        <v>335</v>
      </c>
      <c r="BI11" s="60">
        <f t="shared" si="0"/>
        <v>24</v>
      </c>
    </row>
    <row r="12" spans="2:61" ht="15">
      <c r="B12" s="58">
        <v>71</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BB12" s="38" t="s">
        <v>585</v>
      </c>
      <c r="BC12" s="49" t="s">
        <v>138</v>
      </c>
      <c r="BD12" s="40">
        <v>10.25</v>
      </c>
      <c r="BE12" s="40">
        <v>3.65</v>
      </c>
      <c r="BF12" s="40">
        <v>2.25</v>
      </c>
      <c r="BG12" s="46" t="s">
        <v>335</v>
      </c>
      <c r="BI12" s="60">
        <f t="shared" si="0"/>
        <v>37.412500000000001</v>
      </c>
    </row>
    <row r="13" spans="2:61" ht="15">
      <c r="B13" s="58">
        <v>70</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BB13" s="38" t="s">
        <v>586</v>
      </c>
      <c r="BC13" s="49" t="s">
        <v>145</v>
      </c>
      <c r="BD13" s="40">
        <v>5.7</v>
      </c>
      <c r="BE13" s="40">
        <v>3.65</v>
      </c>
      <c r="BF13" s="40">
        <v>3</v>
      </c>
      <c r="BG13" s="46" t="s">
        <v>335</v>
      </c>
      <c r="BI13" s="60">
        <f t="shared" si="0"/>
        <v>20.805</v>
      </c>
    </row>
    <row r="14" spans="2:61" ht="15">
      <c r="B14" s="58">
        <v>69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BB14" s="38" t="s">
        <v>501</v>
      </c>
      <c r="BC14" s="40" t="s">
        <v>181</v>
      </c>
      <c r="BD14" s="40">
        <v>8</v>
      </c>
      <c r="BE14" s="40">
        <v>8</v>
      </c>
      <c r="BF14" s="40">
        <v>2</v>
      </c>
      <c r="BG14" s="46" t="s">
        <v>335</v>
      </c>
      <c r="BI14" s="60">
        <f t="shared" si="0"/>
        <v>64</v>
      </c>
    </row>
    <row r="15" spans="2:61" ht="15">
      <c r="B15" s="58">
        <v>68</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BB15" s="38" t="s">
        <v>591</v>
      </c>
      <c r="BC15" s="40" t="s">
        <v>127</v>
      </c>
      <c r="BD15" s="40">
        <v>10</v>
      </c>
      <c r="BE15" s="40">
        <v>6</v>
      </c>
      <c r="BF15" s="40">
        <v>3.5</v>
      </c>
      <c r="BG15" s="46" t="s">
        <v>335</v>
      </c>
      <c r="BI15" s="60">
        <f t="shared" si="0"/>
        <v>60</v>
      </c>
    </row>
    <row r="16" spans="2:61" ht="15">
      <c r="B16" s="58">
        <v>67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BB16" s="38" t="s">
        <v>593</v>
      </c>
      <c r="BC16" s="40" t="s">
        <v>132</v>
      </c>
      <c r="BD16" s="40">
        <v>5.7</v>
      </c>
      <c r="BE16" s="40">
        <v>3.65</v>
      </c>
      <c r="BF16" s="40">
        <v>1.75</v>
      </c>
      <c r="BG16" s="46" t="s">
        <v>335</v>
      </c>
      <c r="BI16" s="60">
        <f t="shared" si="0"/>
        <v>20.805</v>
      </c>
    </row>
    <row r="17" spans="2:61" ht="15">
      <c r="B17" s="58">
        <v>66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BB17" s="38" t="s">
        <v>594</v>
      </c>
      <c r="BC17" s="40" t="s">
        <v>157</v>
      </c>
      <c r="BD17" s="40">
        <v>5.7</v>
      </c>
      <c r="BE17" s="40">
        <v>3.65</v>
      </c>
      <c r="BF17" s="40">
        <v>1.5</v>
      </c>
      <c r="BG17" s="46" t="s">
        <v>335</v>
      </c>
      <c r="BI17" s="60">
        <f t="shared" si="0"/>
        <v>20.805</v>
      </c>
    </row>
    <row r="18" spans="2:61" ht="15">
      <c r="B18" s="58">
        <v>65</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BB18" s="38" t="s">
        <v>597</v>
      </c>
      <c r="BC18" s="49" t="s">
        <v>74</v>
      </c>
      <c r="BD18" s="40">
        <v>10.25</v>
      </c>
      <c r="BE18" s="40">
        <v>3.65</v>
      </c>
      <c r="BF18" s="40">
        <v>2.38</v>
      </c>
      <c r="BG18" s="46" t="s">
        <v>335</v>
      </c>
      <c r="BI18" s="60">
        <f t="shared" si="0"/>
        <v>37.412500000000001</v>
      </c>
    </row>
    <row r="19" spans="2:61" ht="15">
      <c r="B19" s="58">
        <v>64</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BB19" s="38" t="s">
        <v>213</v>
      </c>
      <c r="BC19" s="40" t="s">
        <v>81</v>
      </c>
      <c r="BD19" s="40">
        <v>5.7</v>
      </c>
      <c r="BE19" s="40">
        <v>3.65</v>
      </c>
      <c r="BF19" s="40">
        <v>1.5</v>
      </c>
      <c r="BG19" s="46" t="s">
        <v>335</v>
      </c>
      <c r="BI19" s="60">
        <f t="shared" si="0"/>
        <v>20.805</v>
      </c>
    </row>
    <row r="20" spans="2:61" ht="15">
      <c r="B20" s="58">
        <v>63</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BB20" s="38" t="s">
        <v>238</v>
      </c>
      <c r="BC20" s="40" t="s">
        <v>91</v>
      </c>
      <c r="BD20" s="40">
        <v>8.25</v>
      </c>
      <c r="BE20" s="40">
        <v>5</v>
      </c>
      <c r="BF20" s="40">
        <v>2.5</v>
      </c>
      <c r="BG20" s="46" t="s">
        <v>335</v>
      </c>
      <c r="BI20" s="60">
        <f t="shared" si="0"/>
        <v>41.25</v>
      </c>
    </row>
    <row r="21" spans="2:61" ht="15">
      <c r="B21" s="58">
        <v>62</v>
      </c>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BB21" s="38" t="s">
        <v>601</v>
      </c>
      <c r="BC21" s="40" t="s">
        <v>97</v>
      </c>
      <c r="BD21" s="40">
        <v>7</v>
      </c>
      <c r="BE21" s="40">
        <v>4.75</v>
      </c>
      <c r="BF21" s="40">
        <v>2.5</v>
      </c>
      <c r="BG21" s="46" t="s">
        <v>335</v>
      </c>
      <c r="BI21" s="60">
        <f t="shared" si="0"/>
        <v>33.25</v>
      </c>
    </row>
    <row r="22" spans="2:61" ht="15">
      <c r="B22" s="58">
        <v>61</v>
      </c>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BB22" s="38" t="s">
        <v>262</v>
      </c>
      <c r="BC22" s="40" t="s">
        <v>99</v>
      </c>
      <c r="BD22" s="40">
        <v>8.25</v>
      </c>
      <c r="BE22" s="40">
        <v>5</v>
      </c>
      <c r="BF22" s="40">
        <v>2.5</v>
      </c>
      <c r="BG22" s="46" t="s">
        <v>335</v>
      </c>
      <c r="BI22" s="60">
        <f t="shared" si="0"/>
        <v>41.25</v>
      </c>
    </row>
    <row r="23" spans="2:61" ht="15">
      <c r="B23" s="58">
        <v>60</v>
      </c>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BB23" s="38" t="s">
        <v>264</v>
      </c>
      <c r="BC23" s="40" t="s">
        <v>101</v>
      </c>
      <c r="BD23" s="40">
        <v>8.25</v>
      </c>
      <c r="BE23" s="40">
        <v>5</v>
      </c>
      <c r="BF23" s="40">
        <v>2.5</v>
      </c>
      <c r="BG23" s="46" t="s">
        <v>335</v>
      </c>
      <c r="BI23" s="60">
        <f t="shared" si="0"/>
        <v>41.25</v>
      </c>
    </row>
    <row r="24" spans="2:61" ht="15">
      <c r="B24" s="58">
        <v>59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BB24" s="38" t="s">
        <v>522</v>
      </c>
      <c r="BC24" s="40" t="s">
        <v>193</v>
      </c>
      <c r="BD24" s="40">
        <v>5.7</v>
      </c>
      <c r="BE24" s="40">
        <v>3.65</v>
      </c>
      <c r="BF24" s="40">
        <v>0.5</v>
      </c>
      <c r="BG24" s="46" t="s">
        <v>335</v>
      </c>
      <c r="BI24" s="60">
        <f t="shared" si="0"/>
        <v>20.805</v>
      </c>
    </row>
    <row r="25" spans="2:61" ht="15">
      <c r="B25" s="58">
        <v>58</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BB25" s="38" t="s">
        <v>498</v>
      </c>
      <c r="BC25" s="49" t="s">
        <v>179</v>
      </c>
      <c r="BD25" s="40">
        <v>5.7</v>
      </c>
      <c r="BE25" s="40">
        <v>3.65</v>
      </c>
      <c r="BF25" s="40">
        <v>1.25</v>
      </c>
      <c r="BG25" s="46" t="s">
        <v>335</v>
      </c>
      <c r="BI25" s="60">
        <f t="shared" si="0"/>
        <v>20.805</v>
      </c>
    </row>
    <row r="26" spans="2:61" ht="15">
      <c r="B26" s="58">
        <v>57</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BB26" s="38" t="s">
        <v>253</v>
      </c>
      <c r="BC26" s="40" t="s">
        <v>94</v>
      </c>
      <c r="BD26" s="40">
        <v>5.7</v>
      </c>
      <c r="BE26" s="40">
        <v>3.65</v>
      </c>
      <c r="BF26" s="40">
        <v>0.3</v>
      </c>
      <c r="BG26" s="46" t="s">
        <v>335</v>
      </c>
      <c r="BI26" s="60">
        <f t="shared" si="0"/>
        <v>20.805</v>
      </c>
    </row>
    <row r="27" spans="2:61" ht="15">
      <c r="B27" s="58">
        <v>56</v>
      </c>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BB27" s="38" t="s">
        <v>605</v>
      </c>
      <c r="BC27" s="49" t="s">
        <v>167</v>
      </c>
      <c r="BD27" s="40">
        <v>4.375</v>
      </c>
      <c r="BE27" s="40">
        <v>3.65</v>
      </c>
      <c r="BF27" s="40">
        <v>1.35</v>
      </c>
      <c r="BG27" s="46" t="s">
        <v>335</v>
      </c>
      <c r="BI27" s="60">
        <f t="shared" si="0"/>
        <v>15.96875</v>
      </c>
    </row>
    <row r="28" spans="2:61" ht="15">
      <c r="B28" s="58">
        <v>55</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BB28" s="38" t="s">
        <v>606</v>
      </c>
      <c r="BC28" s="49" t="s">
        <v>79</v>
      </c>
      <c r="BD28" s="40">
        <v>4.375</v>
      </c>
      <c r="BE28" s="40">
        <v>3.65</v>
      </c>
      <c r="BF28" s="40">
        <v>1.38</v>
      </c>
      <c r="BG28" s="46" t="s">
        <v>335</v>
      </c>
      <c r="BI28" s="60">
        <f t="shared" si="0"/>
        <v>15.96875</v>
      </c>
    </row>
    <row r="29" spans="2:61" ht="15">
      <c r="B29" s="58">
        <v>54</v>
      </c>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BB29" s="38" t="s">
        <v>303</v>
      </c>
      <c r="BC29" s="40" t="s">
        <v>118</v>
      </c>
      <c r="BD29" s="40">
        <v>5.7</v>
      </c>
      <c r="BE29" s="40">
        <v>3.65</v>
      </c>
      <c r="BF29" s="40">
        <v>1.77</v>
      </c>
      <c r="BG29" s="46" t="s">
        <v>335</v>
      </c>
      <c r="BI29" s="60">
        <f t="shared" si="0"/>
        <v>20.805</v>
      </c>
    </row>
    <row r="30" spans="2:61" ht="15">
      <c r="B30" s="58">
        <v>53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BB30" s="38" t="s">
        <v>415</v>
      </c>
      <c r="BC30" s="40" t="s">
        <v>160</v>
      </c>
      <c r="BD30" s="40">
        <v>5.7</v>
      </c>
      <c r="BE30" s="40">
        <v>3.65</v>
      </c>
      <c r="BF30" s="40">
        <v>1.5</v>
      </c>
      <c r="BG30" s="46" t="s">
        <v>335</v>
      </c>
      <c r="BI30" s="60">
        <f t="shared" si="0"/>
        <v>20.805</v>
      </c>
    </row>
    <row r="31" spans="2:61" ht="15">
      <c r="B31" s="58">
        <v>52</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BB31" s="38" t="s">
        <v>610</v>
      </c>
      <c r="BC31" s="40" t="s">
        <v>319</v>
      </c>
      <c r="BD31" s="40">
        <v>13.75</v>
      </c>
      <c r="BE31" s="40">
        <v>3.625</v>
      </c>
      <c r="BF31" s="40">
        <v>1.25</v>
      </c>
      <c r="BG31" s="46" t="s">
        <v>335</v>
      </c>
      <c r="BI31" s="60">
        <f t="shared" si="0"/>
        <v>49.84375</v>
      </c>
    </row>
    <row r="32" spans="2:61" ht="15">
      <c r="B32" s="58">
        <v>51</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BB32" s="38" t="s">
        <v>339</v>
      </c>
      <c r="BC32" s="40" t="s">
        <v>129</v>
      </c>
      <c r="BD32" s="40">
        <v>5.7</v>
      </c>
      <c r="BE32" s="40">
        <v>3.65</v>
      </c>
      <c r="BF32" s="40">
        <v>1</v>
      </c>
      <c r="BG32" s="46" t="s">
        <v>335</v>
      </c>
      <c r="BI32" s="60">
        <f t="shared" si="0"/>
        <v>20.805</v>
      </c>
    </row>
    <row r="33" spans="2:61" ht="15">
      <c r="B33" s="58">
        <v>50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BB33" s="38" t="s">
        <v>611</v>
      </c>
      <c r="BC33" s="49" t="s">
        <v>86</v>
      </c>
      <c r="BD33" s="40">
        <v>5.7</v>
      </c>
      <c r="BE33" s="40">
        <v>3.65</v>
      </c>
      <c r="BF33" s="40">
        <v>3</v>
      </c>
      <c r="BG33" s="46" t="s">
        <v>335</v>
      </c>
      <c r="BI33" s="60">
        <f t="shared" si="0"/>
        <v>20.805</v>
      </c>
    </row>
    <row r="34" spans="2:61" ht="15">
      <c r="B34" s="58">
        <v>49</v>
      </c>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BB34" s="38" t="s">
        <v>613</v>
      </c>
      <c r="BC34" s="40" t="s">
        <v>109</v>
      </c>
      <c r="BD34" s="40">
        <v>5.7</v>
      </c>
      <c r="BE34" s="40">
        <v>3.65</v>
      </c>
      <c r="BF34" s="40">
        <v>0.75</v>
      </c>
      <c r="BG34" s="46" t="s">
        <v>335</v>
      </c>
      <c r="BI34" s="60">
        <f t="shared" si="0"/>
        <v>20.805</v>
      </c>
    </row>
    <row r="35" spans="2:61" ht="15">
      <c r="B35" s="58">
        <v>48</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BB35" s="38" t="s">
        <v>440</v>
      </c>
      <c r="BC35" s="40" t="s">
        <v>164</v>
      </c>
      <c r="BD35" s="40">
        <v>5.7</v>
      </c>
      <c r="BE35" s="40">
        <v>3.65</v>
      </c>
      <c r="BF35" s="40">
        <v>2</v>
      </c>
      <c r="BG35" s="46" t="s">
        <v>335</v>
      </c>
      <c r="BI35" s="60">
        <f t="shared" si="0"/>
        <v>20.805</v>
      </c>
    </row>
    <row r="36" spans="2:61" ht="15">
      <c r="B36" s="58">
        <v>47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BB36" s="38" t="s">
        <v>436</v>
      </c>
      <c r="BC36" s="40" t="s">
        <v>162</v>
      </c>
      <c r="BD36" s="40">
        <v>8.25</v>
      </c>
      <c r="BE36" s="40">
        <v>5.125</v>
      </c>
      <c r="BF36" s="40">
        <v>3</v>
      </c>
      <c r="BG36" s="46" t="s">
        <v>335</v>
      </c>
      <c r="BI36" s="60">
        <f t="shared" si="0"/>
        <v>42.28125</v>
      </c>
    </row>
    <row r="37" spans="2:61" ht="15">
      <c r="B37" s="58">
        <v>46</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BB37" s="38" t="s">
        <v>614</v>
      </c>
      <c r="BC37" s="40" t="s">
        <v>178</v>
      </c>
      <c r="BD37" s="40">
        <v>5.7</v>
      </c>
      <c r="BE37" s="40">
        <v>3.65</v>
      </c>
      <c r="BF37" s="40">
        <v>1</v>
      </c>
      <c r="BG37" s="46" t="s">
        <v>335</v>
      </c>
      <c r="BI37" s="60">
        <f t="shared" si="0"/>
        <v>20.805</v>
      </c>
    </row>
    <row r="38" spans="2:61" ht="15">
      <c r="B38" s="58">
        <v>45</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BB38" s="38" t="s">
        <v>616</v>
      </c>
      <c r="BC38" s="40" t="s">
        <v>200</v>
      </c>
      <c r="BD38" s="40">
        <v>5.7</v>
      </c>
      <c r="BE38" s="40">
        <v>3.65</v>
      </c>
      <c r="BF38" s="40">
        <v>0.3</v>
      </c>
      <c r="BG38" s="46" t="s">
        <v>335</v>
      </c>
      <c r="BI38" s="60">
        <f t="shared" si="0"/>
        <v>20.805</v>
      </c>
    </row>
    <row r="39" spans="2:61" ht="15">
      <c r="B39" s="58">
        <v>44</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BB39" s="38" t="s">
        <v>646</v>
      </c>
      <c r="BC39" s="40" t="s">
        <v>259</v>
      </c>
      <c r="BD39" s="40">
        <v>7</v>
      </c>
      <c r="BE39" s="40">
        <v>4.75</v>
      </c>
      <c r="BF39" s="40">
        <v>2.5</v>
      </c>
      <c r="BG39" s="46" t="s">
        <v>335</v>
      </c>
      <c r="BI39" s="60">
        <f t="shared" si="0"/>
        <v>33.25</v>
      </c>
    </row>
    <row r="40" spans="2:61" ht="15">
      <c r="B40" s="58">
        <v>43</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BB40" s="38" t="s">
        <v>649</v>
      </c>
      <c r="BC40" s="40" t="s">
        <v>136</v>
      </c>
      <c r="BD40" s="40">
        <v>5.7</v>
      </c>
      <c r="BE40" s="40">
        <v>3.65</v>
      </c>
      <c r="BF40" s="40">
        <v>1.75</v>
      </c>
      <c r="BG40" s="46" t="s">
        <v>335</v>
      </c>
      <c r="BI40" s="66">
        <f t="shared" si="0"/>
        <v>20.805</v>
      </c>
    </row>
    <row r="41" spans="2:61">
      <c r="B41" s="58">
        <v>42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BI41" s="67"/>
    </row>
    <row r="42" spans="2:61" ht="15">
      <c r="B42" s="58">
        <v>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BG42" s="62" t="s">
        <v>659</v>
      </c>
      <c r="BI42" s="63">
        <f>SUM(BI2:BI41)</f>
        <v>1512.0312500000007</v>
      </c>
    </row>
    <row r="43" spans="2:61">
      <c r="B43" s="58">
        <v>40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BI43" s="67"/>
    </row>
    <row r="44" spans="2:61">
      <c r="B44" s="58">
        <v>39</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BG44" s="64" t="s">
        <v>660</v>
      </c>
      <c r="BI44" s="63">
        <f>48*75</f>
        <v>3600</v>
      </c>
    </row>
    <row r="45" spans="2:61">
      <c r="B45" s="58">
        <v>38</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BG45" s="64" t="s">
        <v>661</v>
      </c>
      <c r="BI45" s="63">
        <f>BI44*0.9</f>
        <v>3240</v>
      </c>
    </row>
    <row r="46" spans="2:61">
      <c r="B46" s="58">
        <v>37</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BI46" s="67"/>
    </row>
    <row r="47" spans="2:61">
      <c r="B47" s="58">
        <v>36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BG47" s="61" t="s">
        <v>666</v>
      </c>
      <c r="BI47" s="67"/>
    </row>
    <row r="48" spans="2:61">
      <c r="B48" s="58">
        <v>35</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BG48" s="58" t="s">
        <v>667</v>
      </c>
      <c r="BI48" s="67"/>
    </row>
    <row r="49" spans="2:61">
      <c r="B49" s="58">
        <v>34</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BI49" s="67"/>
    </row>
    <row r="50" spans="2:61">
      <c r="B50" s="58">
        <v>33</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BI50" s="67"/>
    </row>
    <row r="51" spans="2:61">
      <c r="B51" s="58">
        <v>32</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BI51" s="67"/>
    </row>
    <row r="52" spans="2:61">
      <c r="B52" s="58">
        <v>31</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BI52" s="67"/>
    </row>
    <row r="53" spans="2:61">
      <c r="B53" s="58">
        <v>30</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BI53" s="67"/>
    </row>
    <row r="54" spans="2:61">
      <c r="B54" s="58">
        <v>29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BI54" s="67"/>
    </row>
    <row r="55" spans="2:61">
      <c r="B55" s="58">
        <v>28</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BI55" s="67"/>
    </row>
    <row r="56" spans="2:61">
      <c r="B56" s="58">
        <v>27</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BI56" s="67"/>
    </row>
    <row r="57" spans="2:61">
      <c r="B57" s="58">
        <v>26</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BI57" s="67"/>
    </row>
    <row r="58" spans="2:61">
      <c r="B58" s="58">
        <v>25</v>
      </c>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BI58" s="67"/>
    </row>
    <row r="59" spans="2:61">
      <c r="B59" s="58">
        <v>24</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BI59" s="67"/>
    </row>
    <row r="60" spans="2:61">
      <c r="B60" s="58">
        <v>23</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BI60" s="67"/>
    </row>
    <row r="61" spans="2:61">
      <c r="B61" s="58">
        <v>22</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BI61" s="67"/>
    </row>
    <row r="62" spans="2:61">
      <c r="B62" s="58">
        <v>21</v>
      </c>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BI62" s="67"/>
    </row>
    <row r="63" spans="2:61">
      <c r="B63" s="58">
        <v>20</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BI63" s="67"/>
    </row>
    <row r="64" spans="2:61">
      <c r="B64" s="58">
        <v>19</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row>
    <row r="65" spans="2:50">
      <c r="B65" s="58">
        <v>18</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row>
    <row r="66" spans="2:50">
      <c r="B66" s="58">
        <v>17</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row>
    <row r="67" spans="2:50">
      <c r="B67" s="58">
        <v>16</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row>
    <row r="68" spans="2:50">
      <c r="B68" s="58">
        <v>15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row>
    <row r="69" spans="2:50">
      <c r="B69" s="58">
        <v>14</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row>
    <row r="70" spans="2:50">
      <c r="B70" s="58">
        <v>13</v>
      </c>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row>
    <row r="71" spans="2:50">
      <c r="B71" s="58">
        <v>12</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row>
    <row r="72" spans="2:50">
      <c r="B72" s="58">
        <v>11</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row>
    <row r="73" spans="2:50">
      <c r="B73" s="58">
        <v>10</v>
      </c>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row>
    <row r="74" spans="2:50">
      <c r="B74" s="58">
        <v>9</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2:50">
      <c r="B75" s="58">
        <v>8</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row>
    <row r="76" spans="2:50">
      <c r="B76" s="58">
        <v>7</v>
      </c>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50">
      <c r="B77" s="58">
        <v>6</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row>
    <row r="78" spans="2:50">
      <c r="B78" s="58">
        <v>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row>
    <row r="79" spans="2:50">
      <c r="B79" s="58">
        <v>4</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row>
    <row r="80" spans="2:50">
      <c r="B80" s="58">
        <v>3</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row>
    <row r="81" spans="2:50">
      <c r="B81" s="58">
        <v>2</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row>
    <row r="82" spans="2:50">
      <c r="B82" s="58">
        <v>1</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row>
    <row r="83" spans="2:50">
      <c r="C83" s="284" t="s">
        <v>664</v>
      </c>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row>
    <row r="84" spans="2:50">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row>
    <row r="85" spans="2:50">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row>
    <row r="86" spans="2:50">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row>
    <row r="87" spans="2:50">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row>
    <row r="88" spans="2:50">
      <c r="C88" s="285" t="s">
        <v>665</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row>
  </sheetData>
  <mergeCells count="2">
    <mergeCell ref="C83:AX84"/>
    <mergeCell ref="C88:AX88"/>
  </mergeCells>
  <conditionalFormatting sqref="BB2:BB4">
    <cfRule type="expression" dxfId="3" priority="1">
      <formula>AND(ROW()-11&gt;#REF!,ROW()-11&lt;=#REF!+#REF!)</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B1:BI88"/>
  <sheetViews>
    <sheetView topLeftCell="AL1" workbookViewId="0">
      <selection activeCell="A24" sqref="A24:XFD24"/>
    </sheetView>
  </sheetViews>
  <sheetFormatPr baseColWidth="10" defaultColWidth="8.83203125" defaultRowHeight="14" x14ac:dyDescent="0"/>
  <cols>
    <col min="1" max="1" width="3.6640625" style="58" customWidth="1"/>
    <col min="2" max="50" width="3.1640625" style="58" customWidth="1"/>
    <col min="51" max="51" width="1.1640625" style="58" customWidth="1"/>
    <col min="52" max="52" width="38.83203125" style="58" customWidth="1"/>
    <col min="53" max="53" width="1.6640625" style="58" customWidth="1"/>
    <col min="54" max="54" width="41.83203125" style="58" customWidth="1"/>
    <col min="55" max="58" width="8.83203125" style="58"/>
    <col min="59" max="59" width="18" style="58" customWidth="1"/>
    <col min="60" max="60" width="2.33203125" style="58" customWidth="1"/>
    <col min="61" max="16384" width="8.83203125" style="58"/>
  </cols>
  <sheetData>
    <row r="1" spans="2:61" ht="36">
      <c r="B1" s="57" t="s">
        <v>652</v>
      </c>
      <c r="AZ1" s="58" t="s">
        <v>653</v>
      </c>
      <c r="BB1" s="30" t="s">
        <v>551</v>
      </c>
      <c r="BC1" s="31" t="s">
        <v>550</v>
      </c>
      <c r="BD1" s="31" t="s">
        <v>552</v>
      </c>
      <c r="BE1" s="31" t="s">
        <v>553</v>
      </c>
      <c r="BF1" s="31" t="s">
        <v>554</v>
      </c>
      <c r="BG1" s="30" t="s">
        <v>68</v>
      </c>
      <c r="BI1" s="31" t="s">
        <v>654</v>
      </c>
    </row>
    <row r="2" spans="2:61" ht="15">
      <c r="B2" s="58">
        <v>81</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Z2" s="58" t="s">
        <v>655</v>
      </c>
      <c r="BB2" s="38" t="s">
        <v>442</v>
      </c>
      <c r="BC2" s="40" t="s">
        <v>165</v>
      </c>
      <c r="BD2" s="40">
        <v>10</v>
      </c>
      <c r="BE2" s="40">
        <v>14.5</v>
      </c>
      <c r="BF2" s="40">
        <v>3.5</v>
      </c>
      <c r="BG2" s="46" t="s">
        <v>335</v>
      </c>
      <c r="BI2" s="60">
        <f>BD2*BE2</f>
        <v>145</v>
      </c>
    </row>
    <row r="3" spans="2:61" ht="15">
      <c r="B3" s="58">
        <v>80</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Z3" s="58" t="s">
        <v>656</v>
      </c>
      <c r="BB3" s="38" t="s">
        <v>441</v>
      </c>
      <c r="BC3" s="40" t="s">
        <v>443</v>
      </c>
      <c r="BD3" s="40">
        <v>10</v>
      </c>
      <c r="BE3" s="40">
        <v>14.5</v>
      </c>
      <c r="BF3" s="40">
        <v>3.5</v>
      </c>
      <c r="BG3" s="46" t="s">
        <v>335</v>
      </c>
      <c r="BI3" s="60">
        <f t="shared" ref="BI3:BI62" si="0">BD3*BE3</f>
        <v>145</v>
      </c>
    </row>
    <row r="4" spans="2:61" ht="15">
      <c r="B4" s="58">
        <v>79</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Z4" s="58" t="s">
        <v>657</v>
      </c>
      <c r="BB4" s="38" t="s">
        <v>444</v>
      </c>
      <c r="BC4" s="40" t="s">
        <v>166</v>
      </c>
      <c r="BD4" s="40">
        <v>8.1300000000000008</v>
      </c>
      <c r="BE4" s="40">
        <v>9</v>
      </c>
      <c r="BF4" s="40">
        <v>3.5</v>
      </c>
      <c r="BG4" s="46" t="s">
        <v>335</v>
      </c>
      <c r="BI4" s="60">
        <f t="shared" si="0"/>
        <v>73.17</v>
      </c>
    </row>
    <row r="5" spans="2:61" ht="15">
      <c r="B5" s="58">
        <v>78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BB5" s="38" t="s">
        <v>576</v>
      </c>
      <c r="BC5" s="40" t="s">
        <v>425</v>
      </c>
      <c r="BD5" s="40">
        <v>10.5</v>
      </c>
      <c r="BE5" s="40">
        <v>4.5</v>
      </c>
      <c r="BF5" s="40">
        <v>1</v>
      </c>
      <c r="BG5" s="46" t="s">
        <v>335</v>
      </c>
      <c r="BI5" s="60">
        <f t="shared" si="0"/>
        <v>47.25</v>
      </c>
    </row>
    <row r="6" spans="2:61" ht="15">
      <c r="B6" s="58">
        <v>77</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BB6" s="38" t="s">
        <v>578</v>
      </c>
      <c r="BC6" s="40" t="s">
        <v>419</v>
      </c>
      <c r="BD6" s="40">
        <v>8.5</v>
      </c>
      <c r="BE6" s="40">
        <v>4.5</v>
      </c>
      <c r="BF6" s="40">
        <v>1</v>
      </c>
      <c r="BG6" s="46" t="s">
        <v>335</v>
      </c>
      <c r="BI6" s="60">
        <f t="shared" si="0"/>
        <v>38.25</v>
      </c>
    </row>
    <row r="7" spans="2:61" ht="15">
      <c r="B7" s="58">
        <v>76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BB7" s="38" t="s">
        <v>580</v>
      </c>
      <c r="BC7" s="40" t="s">
        <v>124</v>
      </c>
      <c r="BD7" s="40">
        <v>13.75</v>
      </c>
      <c r="BE7" s="40">
        <v>3.625</v>
      </c>
      <c r="BF7" s="40">
        <v>2.5</v>
      </c>
      <c r="BG7" s="46" t="s">
        <v>335</v>
      </c>
      <c r="BI7" s="60">
        <f t="shared" si="0"/>
        <v>49.84375</v>
      </c>
    </row>
    <row r="8" spans="2:61" ht="15">
      <c r="B8" s="58">
        <v>75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Z8" s="61" t="s">
        <v>658</v>
      </c>
      <c r="BB8" s="38" t="s">
        <v>378</v>
      </c>
      <c r="BC8" s="49" t="s">
        <v>144</v>
      </c>
      <c r="BD8" s="40">
        <v>8.5</v>
      </c>
      <c r="BE8" s="40">
        <v>8.5</v>
      </c>
      <c r="BF8" s="40">
        <v>2.5</v>
      </c>
      <c r="BG8" s="46" t="s">
        <v>335</v>
      </c>
      <c r="BI8" s="60">
        <f t="shared" si="0"/>
        <v>72.25</v>
      </c>
    </row>
    <row r="9" spans="2:61" ht="15">
      <c r="B9" s="58">
        <v>74</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BB9" s="38" t="s">
        <v>582</v>
      </c>
      <c r="BC9" s="40" t="s">
        <v>433</v>
      </c>
      <c r="BD9" s="40">
        <v>10.5</v>
      </c>
      <c r="BE9" s="40">
        <v>4.5</v>
      </c>
      <c r="BF9" s="40">
        <v>0.5</v>
      </c>
      <c r="BG9" s="46" t="s">
        <v>335</v>
      </c>
      <c r="BI9" s="60">
        <f t="shared" si="0"/>
        <v>47.25</v>
      </c>
    </row>
    <row r="10" spans="2:61" ht="15">
      <c r="B10" s="58">
        <v>73</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BB10" s="38" t="s">
        <v>585</v>
      </c>
      <c r="BC10" s="49" t="s">
        <v>138</v>
      </c>
      <c r="BD10" s="40">
        <v>10.25</v>
      </c>
      <c r="BE10" s="40">
        <v>3.65</v>
      </c>
      <c r="BF10" s="40">
        <v>2.25</v>
      </c>
      <c r="BG10" s="46" t="s">
        <v>335</v>
      </c>
      <c r="BI10" s="60">
        <f t="shared" si="0"/>
        <v>37.412500000000001</v>
      </c>
    </row>
    <row r="11" spans="2:61" ht="15">
      <c r="B11" s="58">
        <v>72</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BB11" s="38" t="s">
        <v>586</v>
      </c>
      <c r="BC11" s="49" t="s">
        <v>145</v>
      </c>
      <c r="BD11" s="40">
        <v>5.7</v>
      </c>
      <c r="BE11" s="40">
        <v>3.65</v>
      </c>
      <c r="BF11" s="40">
        <v>3</v>
      </c>
      <c r="BG11" s="46" t="s">
        <v>335</v>
      </c>
      <c r="BI11" s="60">
        <f t="shared" si="0"/>
        <v>20.805</v>
      </c>
    </row>
    <row r="12" spans="2:61" ht="15">
      <c r="B12" s="58">
        <v>71</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BB12" s="38" t="s">
        <v>591</v>
      </c>
      <c r="BC12" s="40" t="s">
        <v>127</v>
      </c>
      <c r="BD12" s="40">
        <v>10</v>
      </c>
      <c r="BE12" s="40">
        <v>6</v>
      </c>
      <c r="BF12" s="40">
        <v>3.5</v>
      </c>
      <c r="BG12" s="46" t="s">
        <v>335</v>
      </c>
      <c r="BI12" s="60">
        <f t="shared" si="0"/>
        <v>60</v>
      </c>
    </row>
    <row r="13" spans="2:61" ht="15">
      <c r="B13" s="58">
        <v>70</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BB13" s="38" t="s">
        <v>593</v>
      </c>
      <c r="BC13" s="40" t="s">
        <v>132</v>
      </c>
      <c r="BD13" s="40">
        <v>5.7</v>
      </c>
      <c r="BE13" s="40">
        <v>3.65</v>
      </c>
      <c r="BF13" s="40">
        <v>1.75</v>
      </c>
      <c r="BG13" s="46" t="s">
        <v>335</v>
      </c>
      <c r="BI13" s="60">
        <f t="shared" si="0"/>
        <v>20.805</v>
      </c>
    </row>
    <row r="14" spans="2:61" ht="15">
      <c r="B14" s="58">
        <v>69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BB14" s="38" t="s">
        <v>594</v>
      </c>
      <c r="BC14" s="40" t="s">
        <v>157</v>
      </c>
      <c r="BD14" s="40">
        <v>5.7</v>
      </c>
      <c r="BE14" s="40">
        <v>3.65</v>
      </c>
      <c r="BF14" s="40">
        <v>1.5</v>
      </c>
      <c r="BG14" s="46" t="s">
        <v>335</v>
      </c>
      <c r="BI14" s="60">
        <f t="shared" si="0"/>
        <v>20.805</v>
      </c>
    </row>
    <row r="15" spans="2:61" ht="15">
      <c r="B15" s="58">
        <v>68</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BB15" s="38" t="s">
        <v>597</v>
      </c>
      <c r="BC15" s="49" t="s">
        <v>74</v>
      </c>
      <c r="BD15" s="40">
        <v>10.25</v>
      </c>
      <c r="BE15" s="40">
        <v>3.65</v>
      </c>
      <c r="BF15" s="40">
        <v>2.38</v>
      </c>
      <c r="BG15" s="46" t="s">
        <v>335</v>
      </c>
      <c r="BI15" s="60">
        <f t="shared" si="0"/>
        <v>37.412500000000001</v>
      </c>
    </row>
    <row r="16" spans="2:61" ht="15">
      <c r="B16" s="58">
        <v>67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BB16" s="38" t="s">
        <v>213</v>
      </c>
      <c r="BC16" s="40" t="s">
        <v>81</v>
      </c>
      <c r="BD16" s="40">
        <v>5.7</v>
      </c>
      <c r="BE16" s="40">
        <v>3.65</v>
      </c>
      <c r="BF16" s="40">
        <v>1.5</v>
      </c>
      <c r="BG16" s="46" t="s">
        <v>335</v>
      </c>
      <c r="BI16" s="60">
        <f t="shared" si="0"/>
        <v>20.805</v>
      </c>
    </row>
    <row r="17" spans="2:61" ht="15">
      <c r="B17" s="58">
        <v>66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BB17" s="38" t="s">
        <v>522</v>
      </c>
      <c r="BC17" s="40" t="s">
        <v>193</v>
      </c>
      <c r="BD17" s="40">
        <v>5.7</v>
      </c>
      <c r="BE17" s="40">
        <v>3.65</v>
      </c>
      <c r="BF17" s="40">
        <v>0.5</v>
      </c>
      <c r="BG17" s="46" t="s">
        <v>335</v>
      </c>
      <c r="BI17" s="60">
        <f t="shared" si="0"/>
        <v>20.805</v>
      </c>
    </row>
    <row r="18" spans="2:61" ht="15">
      <c r="B18" s="58">
        <v>65</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BB18" s="38" t="s">
        <v>498</v>
      </c>
      <c r="BC18" s="49" t="s">
        <v>179</v>
      </c>
      <c r="BD18" s="40">
        <v>5.7</v>
      </c>
      <c r="BE18" s="40">
        <v>3.65</v>
      </c>
      <c r="BF18" s="40">
        <v>1.25</v>
      </c>
      <c r="BG18" s="46" t="s">
        <v>335</v>
      </c>
      <c r="BI18" s="60">
        <f t="shared" si="0"/>
        <v>20.805</v>
      </c>
    </row>
    <row r="19" spans="2:61" ht="15">
      <c r="B19" s="58">
        <v>64</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BB19" s="38" t="s">
        <v>253</v>
      </c>
      <c r="BC19" s="40" t="s">
        <v>94</v>
      </c>
      <c r="BD19" s="40">
        <v>5.7</v>
      </c>
      <c r="BE19" s="40">
        <v>3.65</v>
      </c>
      <c r="BF19" s="40">
        <v>0.3</v>
      </c>
      <c r="BG19" s="46" t="s">
        <v>335</v>
      </c>
      <c r="BI19" s="60">
        <f t="shared" si="0"/>
        <v>20.805</v>
      </c>
    </row>
    <row r="20" spans="2:61" ht="15">
      <c r="B20" s="58">
        <v>63</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BB20" s="38" t="s">
        <v>605</v>
      </c>
      <c r="BC20" s="49" t="s">
        <v>167</v>
      </c>
      <c r="BD20" s="40">
        <v>4.375</v>
      </c>
      <c r="BE20" s="40">
        <v>3.65</v>
      </c>
      <c r="BF20" s="40">
        <v>1.35</v>
      </c>
      <c r="BG20" s="46" t="s">
        <v>335</v>
      </c>
      <c r="BI20" s="60">
        <f t="shared" si="0"/>
        <v>15.96875</v>
      </c>
    </row>
    <row r="21" spans="2:61" ht="15">
      <c r="B21" s="58">
        <v>62</v>
      </c>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BB21" s="38" t="s">
        <v>606</v>
      </c>
      <c r="BC21" s="49" t="s">
        <v>79</v>
      </c>
      <c r="BD21" s="40">
        <v>4.375</v>
      </c>
      <c r="BE21" s="40">
        <v>3.65</v>
      </c>
      <c r="BF21" s="40">
        <v>1.38</v>
      </c>
      <c r="BG21" s="46" t="s">
        <v>335</v>
      </c>
      <c r="BI21" s="60">
        <f t="shared" si="0"/>
        <v>15.96875</v>
      </c>
    </row>
    <row r="22" spans="2:61" ht="15">
      <c r="B22" s="58">
        <v>61</v>
      </c>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BB22" s="38" t="s">
        <v>610</v>
      </c>
      <c r="BC22" s="40" t="s">
        <v>319</v>
      </c>
      <c r="BD22" s="40">
        <v>13.75</v>
      </c>
      <c r="BE22" s="40">
        <v>3.625</v>
      </c>
      <c r="BF22" s="40">
        <v>1.25</v>
      </c>
      <c r="BG22" s="46" t="s">
        <v>335</v>
      </c>
      <c r="BI22" s="60">
        <f t="shared" si="0"/>
        <v>49.84375</v>
      </c>
    </row>
    <row r="23" spans="2:61" ht="15">
      <c r="B23" s="58">
        <v>60</v>
      </c>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BB23" s="38" t="s">
        <v>611</v>
      </c>
      <c r="BC23" s="49" t="s">
        <v>86</v>
      </c>
      <c r="BD23" s="40">
        <v>5.7</v>
      </c>
      <c r="BE23" s="40">
        <v>3.65</v>
      </c>
      <c r="BF23" s="40">
        <v>3</v>
      </c>
      <c r="BG23" s="46" t="s">
        <v>335</v>
      </c>
      <c r="BI23" s="60">
        <f t="shared" si="0"/>
        <v>20.805</v>
      </c>
    </row>
    <row r="24" spans="2:61" ht="15">
      <c r="B24" s="58">
        <v>59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BB24" s="38" t="s">
        <v>440</v>
      </c>
      <c r="BC24" s="40" t="s">
        <v>164</v>
      </c>
      <c r="BD24" s="40">
        <v>5.7</v>
      </c>
      <c r="BE24" s="40">
        <v>3.65</v>
      </c>
      <c r="BF24" s="40">
        <v>2</v>
      </c>
      <c r="BG24" s="46" t="s">
        <v>335</v>
      </c>
      <c r="BI24" s="60">
        <f t="shared" si="0"/>
        <v>20.805</v>
      </c>
    </row>
    <row r="25" spans="2:61" ht="15">
      <c r="B25" s="58">
        <v>58</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BB25" s="38" t="s">
        <v>614</v>
      </c>
      <c r="BC25" s="40" t="s">
        <v>178</v>
      </c>
      <c r="BD25" s="40">
        <v>5.7</v>
      </c>
      <c r="BE25" s="40">
        <v>3.65</v>
      </c>
      <c r="BF25" s="40">
        <v>1</v>
      </c>
      <c r="BG25" s="46" t="s">
        <v>335</v>
      </c>
      <c r="BI25" s="60">
        <f t="shared" si="0"/>
        <v>20.805</v>
      </c>
    </row>
    <row r="26" spans="2:61" ht="15">
      <c r="B26" s="58">
        <v>57</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BB26" s="38" t="s">
        <v>616</v>
      </c>
      <c r="BC26" s="40" t="s">
        <v>200</v>
      </c>
      <c r="BD26" s="40">
        <v>5.7</v>
      </c>
      <c r="BE26" s="40">
        <v>3.65</v>
      </c>
      <c r="BF26" s="40">
        <v>0.3</v>
      </c>
      <c r="BG26" s="46" t="s">
        <v>335</v>
      </c>
      <c r="BI26" s="60">
        <f t="shared" si="0"/>
        <v>20.805</v>
      </c>
    </row>
    <row r="27" spans="2:61" ht="15">
      <c r="B27" s="58">
        <v>56</v>
      </c>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BB27" s="38" t="s">
        <v>337</v>
      </c>
      <c r="BC27" s="40" t="s">
        <v>128</v>
      </c>
      <c r="BD27" s="40">
        <v>12</v>
      </c>
      <c r="BE27" s="40">
        <v>11.5</v>
      </c>
      <c r="BF27" s="40">
        <v>2.5</v>
      </c>
      <c r="BG27" s="46" t="s">
        <v>335</v>
      </c>
      <c r="BI27" s="60">
        <f t="shared" si="0"/>
        <v>138</v>
      </c>
    </row>
    <row r="28" spans="2:61" ht="15">
      <c r="B28" s="58">
        <v>55</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BB28" s="38" t="s">
        <v>400</v>
      </c>
      <c r="BC28" s="40" t="s">
        <v>153</v>
      </c>
      <c r="BD28" s="40">
        <v>3.5</v>
      </c>
      <c r="BE28" s="40">
        <v>3.5</v>
      </c>
      <c r="BF28" s="40">
        <v>11</v>
      </c>
      <c r="BG28" s="46" t="s">
        <v>335</v>
      </c>
      <c r="BI28" s="60">
        <f t="shared" si="0"/>
        <v>12.25</v>
      </c>
    </row>
    <row r="29" spans="2:61" ht="15">
      <c r="B29" s="58">
        <v>54</v>
      </c>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BB29" s="38" t="s">
        <v>343</v>
      </c>
      <c r="BC29" s="40" t="s">
        <v>131</v>
      </c>
      <c r="BD29" s="40">
        <v>12</v>
      </c>
      <c r="BE29" s="40">
        <v>11.5</v>
      </c>
      <c r="BF29" s="40">
        <v>3.5</v>
      </c>
      <c r="BG29" s="46" t="s">
        <v>335</v>
      </c>
      <c r="BI29" s="60">
        <f t="shared" si="0"/>
        <v>138</v>
      </c>
    </row>
    <row r="30" spans="2:61" ht="15">
      <c r="B30" s="58">
        <v>53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BB30" s="38" t="s">
        <v>515</v>
      </c>
      <c r="BC30" s="40" t="s">
        <v>190</v>
      </c>
      <c r="BD30" s="40">
        <v>6</v>
      </c>
      <c r="BE30" s="40">
        <v>12</v>
      </c>
      <c r="BF30" s="40">
        <v>12</v>
      </c>
      <c r="BG30" s="46" t="s">
        <v>335</v>
      </c>
      <c r="BI30" s="60">
        <f t="shared" si="0"/>
        <v>72</v>
      </c>
    </row>
    <row r="31" spans="2:61" ht="15">
      <c r="B31" s="58">
        <v>52</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BB31" s="38" t="s">
        <v>571</v>
      </c>
      <c r="BC31" s="40" t="s">
        <v>175</v>
      </c>
      <c r="BD31" s="40">
        <v>25.25</v>
      </c>
      <c r="BE31" s="40">
        <v>5</v>
      </c>
      <c r="BF31" s="40">
        <v>3</v>
      </c>
      <c r="BG31" s="46" t="s">
        <v>335</v>
      </c>
      <c r="BI31" s="60">
        <f t="shared" si="0"/>
        <v>126.25</v>
      </c>
    </row>
    <row r="32" spans="2:61" ht="15">
      <c r="B32" s="58">
        <v>51</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BB32" s="38" t="s">
        <v>394</v>
      </c>
      <c r="BC32" s="40" t="s">
        <v>150</v>
      </c>
      <c r="BD32" s="40">
        <v>5.7</v>
      </c>
      <c r="BE32" s="40">
        <v>3.65</v>
      </c>
      <c r="BF32" s="40">
        <v>1.75</v>
      </c>
      <c r="BG32" s="46" t="s">
        <v>335</v>
      </c>
      <c r="BI32" s="60">
        <f t="shared" si="0"/>
        <v>20.805</v>
      </c>
    </row>
    <row r="33" spans="2:61" ht="15">
      <c r="B33" s="58">
        <v>50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BB33" s="38" t="s">
        <v>396</v>
      </c>
      <c r="BC33" s="40" t="s">
        <v>151</v>
      </c>
      <c r="BD33" s="40">
        <v>12</v>
      </c>
      <c r="BE33" s="40">
        <v>6.25</v>
      </c>
      <c r="BF33" s="40">
        <v>2.5</v>
      </c>
      <c r="BG33" s="46" t="s">
        <v>335</v>
      </c>
      <c r="BI33" s="60">
        <f t="shared" si="0"/>
        <v>75</v>
      </c>
    </row>
    <row r="34" spans="2:61" ht="15">
      <c r="B34" s="58">
        <v>49</v>
      </c>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BB34" s="38" t="s">
        <v>266</v>
      </c>
      <c r="BC34" s="49" t="s">
        <v>103</v>
      </c>
      <c r="BD34" s="40">
        <v>11.75</v>
      </c>
      <c r="BE34" s="40">
        <v>5.125</v>
      </c>
      <c r="BF34" s="40">
        <v>2.75</v>
      </c>
      <c r="BG34" s="46" t="s">
        <v>335</v>
      </c>
      <c r="BI34" s="60">
        <f t="shared" si="0"/>
        <v>60.21875</v>
      </c>
    </row>
    <row r="35" spans="2:61" ht="15">
      <c r="B35" s="58">
        <v>48</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BB35" s="38" t="s">
        <v>405</v>
      </c>
      <c r="BC35" s="40" t="s">
        <v>155</v>
      </c>
      <c r="BD35" s="40">
        <v>9.5</v>
      </c>
      <c r="BE35" s="40">
        <v>5</v>
      </c>
      <c r="BF35" s="40">
        <v>2</v>
      </c>
      <c r="BG35" s="46" t="s">
        <v>335</v>
      </c>
      <c r="BI35" s="60">
        <f t="shared" si="0"/>
        <v>47.5</v>
      </c>
    </row>
    <row r="36" spans="2:61" ht="15">
      <c r="B36" s="58">
        <v>47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BB36" s="38" t="s">
        <v>403</v>
      </c>
      <c r="BC36" s="40" t="s">
        <v>154</v>
      </c>
      <c r="BD36" s="40">
        <v>9.5</v>
      </c>
      <c r="BE36" s="40">
        <v>5</v>
      </c>
      <c r="BF36" s="40">
        <v>2</v>
      </c>
      <c r="BG36" s="46" t="s">
        <v>335</v>
      </c>
      <c r="BI36" s="60">
        <f t="shared" si="0"/>
        <v>47.5</v>
      </c>
    </row>
    <row r="37" spans="2:61" ht="15">
      <c r="B37" s="58">
        <v>46</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BB37" s="38" t="s">
        <v>375</v>
      </c>
      <c r="BC37" s="49" t="s">
        <v>143</v>
      </c>
      <c r="BD37" s="40">
        <v>8.5</v>
      </c>
      <c r="BE37" s="40">
        <v>8.5</v>
      </c>
      <c r="BF37" s="40">
        <v>2.5</v>
      </c>
      <c r="BG37" s="46" t="s">
        <v>335</v>
      </c>
      <c r="BI37" s="60">
        <f t="shared" si="0"/>
        <v>72.25</v>
      </c>
    </row>
    <row r="38" spans="2:61" ht="15">
      <c r="B38" s="58">
        <v>45</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BB38" s="38" t="s">
        <v>275</v>
      </c>
      <c r="BC38" s="49" t="s">
        <v>274</v>
      </c>
      <c r="BD38" s="40">
        <v>8</v>
      </c>
      <c r="BE38" s="40">
        <v>8</v>
      </c>
      <c r="BF38" s="40">
        <v>3.5</v>
      </c>
      <c r="BG38" s="46" t="s">
        <v>335</v>
      </c>
      <c r="BI38" s="60">
        <f t="shared" si="0"/>
        <v>64</v>
      </c>
    </row>
    <row r="39" spans="2:61" ht="15">
      <c r="B39" s="58">
        <v>44</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BB39" s="38" t="s">
        <v>351</v>
      </c>
      <c r="BC39" s="40" t="s">
        <v>135</v>
      </c>
      <c r="BD39" s="40">
        <v>5.7</v>
      </c>
      <c r="BE39" s="40">
        <v>3.65</v>
      </c>
      <c r="BF39" s="40">
        <v>1.25</v>
      </c>
      <c r="BG39" s="46" t="s">
        <v>335</v>
      </c>
      <c r="BI39" s="60">
        <f t="shared" si="0"/>
        <v>20.805</v>
      </c>
    </row>
    <row r="40" spans="2:61" ht="15">
      <c r="B40" s="58">
        <v>43</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BB40" s="38" t="s">
        <v>369</v>
      </c>
      <c r="BC40" s="40" t="s">
        <v>140</v>
      </c>
      <c r="BD40" s="40">
        <v>7.375</v>
      </c>
      <c r="BE40" s="40">
        <v>4.875</v>
      </c>
      <c r="BF40" s="40">
        <v>4</v>
      </c>
      <c r="BG40" s="46" t="s">
        <v>335</v>
      </c>
      <c r="BI40" s="60">
        <f t="shared" si="0"/>
        <v>35.953125</v>
      </c>
    </row>
    <row r="41" spans="2:61" ht="15">
      <c r="B41" s="58">
        <v>42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BB41" s="38" t="s">
        <v>583</v>
      </c>
      <c r="BC41" s="40" t="s">
        <v>186</v>
      </c>
      <c r="BD41" s="40">
        <v>5.4</v>
      </c>
      <c r="BE41" s="40">
        <v>5.3</v>
      </c>
      <c r="BF41" s="40">
        <v>1.25</v>
      </c>
      <c r="BG41" s="46" t="s">
        <v>335</v>
      </c>
      <c r="BI41" s="60">
        <f t="shared" si="0"/>
        <v>28.62</v>
      </c>
    </row>
    <row r="42" spans="2:61" ht="15">
      <c r="B42" s="58">
        <v>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BB42" s="38" t="s">
        <v>269</v>
      </c>
      <c r="BC42" s="49" t="s">
        <v>105</v>
      </c>
      <c r="BD42" s="40">
        <v>6.8</v>
      </c>
      <c r="BE42" s="40">
        <v>5.125</v>
      </c>
      <c r="BF42" s="40">
        <v>2.75</v>
      </c>
      <c r="BG42" s="46" t="s">
        <v>335</v>
      </c>
      <c r="BI42" s="60">
        <f t="shared" si="0"/>
        <v>34.85</v>
      </c>
    </row>
    <row r="43" spans="2:61" ht="15">
      <c r="B43" s="58">
        <v>40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BB43" s="38" t="s">
        <v>587</v>
      </c>
      <c r="BC43" s="40" t="s">
        <v>170</v>
      </c>
      <c r="BD43" s="40">
        <v>7.375</v>
      </c>
      <c r="BE43" s="40">
        <v>4.875</v>
      </c>
      <c r="BF43" s="40">
        <v>2</v>
      </c>
      <c r="BG43" s="46" t="s">
        <v>335</v>
      </c>
      <c r="BI43" s="60">
        <f t="shared" si="0"/>
        <v>35.953125</v>
      </c>
    </row>
    <row r="44" spans="2:61" ht="15">
      <c r="B44" s="58">
        <v>39</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BB44" s="38" t="s">
        <v>589</v>
      </c>
      <c r="BC44" s="40" t="s">
        <v>174</v>
      </c>
      <c r="BD44" s="40">
        <v>7.375</v>
      </c>
      <c r="BE44" s="40">
        <v>5</v>
      </c>
      <c r="BF44" s="40">
        <v>3</v>
      </c>
      <c r="BG44" s="46" t="s">
        <v>335</v>
      </c>
      <c r="BI44" s="60">
        <f t="shared" si="0"/>
        <v>36.875</v>
      </c>
    </row>
    <row r="45" spans="2:61" ht="15">
      <c r="B45" s="58">
        <v>38</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BB45" s="38" t="s">
        <v>362</v>
      </c>
      <c r="BC45" s="40" t="s">
        <v>139</v>
      </c>
      <c r="BD45" s="40">
        <v>7.375</v>
      </c>
      <c r="BE45" s="40">
        <v>4.875</v>
      </c>
      <c r="BF45" s="40">
        <v>1</v>
      </c>
      <c r="BG45" s="46" t="s">
        <v>335</v>
      </c>
      <c r="BI45" s="60">
        <f t="shared" si="0"/>
        <v>35.953125</v>
      </c>
    </row>
    <row r="46" spans="2:61" ht="15">
      <c r="B46" s="58">
        <v>37</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BB46" s="38" t="s">
        <v>224</v>
      </c>
      <c r="BC46" s="40" t="s">
        <v>90</v>
      </c>
      <c r="BD46" s="40">
        <v>6.5</v>
      </c>
      <c r="BE46" s="40">
        <v>3.65</v>
      </c>
      <c r="BF46" s="40">
        <v>3</v>
      </c>
      <c r="BG46" s="46" t="s">
        <v>335</v>
      </c>
      <c r="BI46" s="60">
        <f t="shared" si="0"/>
        <v>23.724999999999998</v>
      </c>
    </row>
    <row r="47" spans="2:61" ht="15">
      <c r="B47" s="58">
        <v>36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BB47" s="38" t="s">
        <v>286</v>
      </c>
      <c r="BC47" s="40" t="s">
        <v>110</v>
      </c>
      <c r="BD47" s="40">
        <v>5.7</v>
      </c>
      <c r="BE47" s="40">
        <v>3.65</v>
      </c>
      <c r="BF47" s="40">
        <v>0.75</v>
      </c>
      <c r="BG47" s="46" t="s">
        <v>335</v>
      </c>
      <c r="BI47" s="60">
        <f t="shared" si="0"/>
        <v>20.805</v>
      </c>
    </row>
    <row r="48" spans="2:61" ht="15">
      <c r="B48" s="58">
        <v>35</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BB48" s="38" t="s">
        <v>479</v>
      </c>
      <c r="BC48" s="40" t="s">
        <v>171</v>
      </c>
      <c r="BD48" s="40">
        <v>7.375</v>
      </c>
      <c r="BE48" s="40">
        <v>4.875</v>
      </c>
      <c r="BF48" s="40">
        <v>3</v>
      </c>
      <c r="BG48" s="46" t="s">
        <v>335</v>
      </c>
      <c r="BI48" s="60">
        <f t="shared" si="0"/>
        <v>35.953125</v>
      </c>
    </row>
    <row r="49" spans="2:61" ht="15">
      <c r="B49" s="58">
        <v>34</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BB49" s="38" t="s">
        <v>492</v>
      </c>
      <c r="BC49" s="49" t="s">
        <v>176</v>
      </c>
      <c r="BD49" s="40">
        <v>5.7</v>
      </c>
      <c r="BE49" s="40">
        <v>3.65</v>
      </c>
      <c r="BF49" s="40">
        <v>3</v>
      </c>
      <c r="BG49" s="46" t="s">
        <v>335</v>
      </c>
      <c r="BI49" s="60">
        <f t="shared" si="0"/>
        <v>20.805</v>
      </c>
    </row>
    <row r="50" spans="2:61" ht="15">
      <c r="B50" s="58">
        <v>33</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BB50" s="38" t="s">
        <v>221</v>
      </c>
      <c r="BC50" s="40" t="s">
        <v>89</v>
      </c>
      <c r="BD50" s="40">
        <v>6.5</v>
      </c>
      <c r="BE50" s="40">
        <v>3.65</v>
      </c>
      <c r="BF50" s="40">
        <v>2.25</v>
      </c>
      <c r="BG50" s="46" t="s">
        <v>335</v>
      </c>
      <c r="BI50" s="60">
        <f t="shared" si="0"/>
        <v>23.724999999999998</v>
      </c>
    </row>
    <row r="51" spans="2:61" ht="15">
      <c r="B51" s="58">
        <v>32</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BB51" s="38" t="s">
        <v>288</v>
      </c>
      <c r="BC51" s="40" t="s">
        <v>112</v>
      </c>
      <c r="BD51" s="40">
        <v>5.7</v>
      </c>
      <c r="BE51" s="40">
        <v>3.65</v>
      </c>
      <c r="BF51" s="40">
        <v>0.75</v>
      </c>
      <c r="BG51" s="46" t="s">
        <v>335</v>
      </c>
      <c r="BI51" s="60">
        <f t="shared" si="0"/>
        <v>20.805</v>
      </c>
    </row>
    <row r="52" spans="2:61" ht="15">
      <c r="B52" s="58">
        <v>31</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BB52" s="38" t="s">
        <v>592</v>
      </c>
      <c r="BC52" s="40" t="s">
        <v>172</v>
      </c>
      <c r="BD52" s="40">
        <v>7.375</v>
      </c>
      <c r="BE52" s="40">
        <v>4.875</v>
      </c>
      <c r="BF52" s="40">
        <v>3</v>
      </c>
      <c r="BG52" s="46" t="s">
        <v>335</v>
      </c>
      <c r="BI52" s="60">
        <f t="shared" si="0"/>
        <v>35.953125</v>
      </c>
    </row>
    <row r="53" spans="2:61" ht="15">
      <c r="B53" s="58">
        <v>30</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BB53" s="38" t="s">
        <v>216</v>
      </c>
      <c r="BC53" s="40" t="s">
        <v>83</v>
      </c>
      <c r="BD53" s="40">
        <v>5.7</v>
      </c>
      <c r="BE53" s="40">
        <v>3.65</v>
      </c>
      <c r="BF53" s="40">
        <v>2</v>
      </c>
      <c r="BG53" s="46" t="s">
        <v>335</v>
      </c>
      <c r="BI53" s="60">
        <f t="shared" si="0"/>
        <v>20.805</v>
      </c>
    </row>
    <row r="54" spans="2:61" ht="15">
      <c r="B54" s="58">
        <v>29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BB54" s="38" t="s">
        <v>290</v>
      </c>
      <c r="BC54" s="40" t="s">
        <v>114</v>
      </c>
      <c r="BD54" s="40">
        <v>5.7</v>
      </c>
      <c r="BE54" s="40">
        <v>3.65</v>
      </c>
      <c r="BF54" s="40">
        <v>0.75</v>
      </c>
      <c r="BG54" s="46" t="s">
        <v>335</v>
      </c>
      <c r="BI54" s="60">
        <f t="shared" si="0"/>
        <v>20.805</v>
      </c>
    </row>
    <row r="55" spans="2:61" ht="15">
      <c r="B55" s="58">
        <v>28</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BB55" s="38" t="s">
        <v>373</v>
      </c>
      <c r="BC55" s="40" t="s">
        <v>142</v>
      </c>
      <c r="BD55" s="40">
        <v>5.7</v>
      </c>
      <c r="BE55" s="40">
        <v>3.65</v>
      </c>
      <c r="BF55" s="40">
        <v>3.5</v>
      </c>
      <c r="BG55" s="46" t="s">
        <v>335</v>
      </c>
      <c r="BI55" s="60">
        <f t="shared" si="0"/>
        <v>20.805</v>
      </c>
    </row>
    <row r="56" spans="2:61" ht="15">
      <c r="B56" s="58">
        <v>27</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BB56" s="38" t="s">
        <v>494</v>
      </c>
      <c r="BC56" s="40" t="s">
        <v>177</v>
      </c>
      <c r="BD56" s="40">
        <v>5.7</v>
      </c>
      <c r="BE56" s="40">
        <v>3.65</v>
      </c>
      <c r="BF56" s="40">
        <v>3.75</v>
      </c>
      <c r="BG56" s="46" t="s">
        <v>335</v>
      </c>
      <c r="BI56" s="60">
        <f t="shared" si="0"/>
        <v>20.805</v>
      </c>
    </row>
    <row r="57" spans="2:61" ht="15">
      <c r="B57" s="58">
        <v>26</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BB57" s="38" t="s">
        <v>299</v>
      </c>
      <c r="BC57" s="40" t="s">
        <v>116</v>
      </c>
      <c r="BD57" s="40">
        <v>5.7</v>
      </c>
      <c r="BE57" s="40">
        <v>3.65</v>
      </c>
      <c r="BF57" s="40">
        <v>1</v>
      </c>
      <c r="BG57" s="46" t="s">
        <v>335</v>
      </c>
      <c r="BI57" s="60">
        <f t="shared" si="0"/>
        <v>20.805</v>
      </c>
    </row>
    <row r="58" spans="2:61" ht="15">
      <c r="B58" s="58">
        <v>25</v>
      </c>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BB58" s="38" t="s">
        <v>596</v>
      </c>
      <c r="BC58" s="40" t="s">
        <v>173</v>
      </c>
      <c r="BD58" s="40">
        <v>7.375</v>
      </c>
      <c r="BE58" s="40">
        <v>4.875</v>
      </c>
      <c r="BF58" s="40">
        <v>3</v>
      </c>
      <c r="BG58" s="46" t="s">
        <v>335</v>
      </c>
      <c r="BI58" s="60">
        <f t="shared" si="0"/>
        <v>35.953125</v>
      </c>
    </row>
    <row r="59" spans="2:61" ht="15">
      <c r="B59" s="58">
        <v>24</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BB59" s="38" t="s">
        <v>398</v>
      </c>
      <c r="BC59" s="40" t="s">
        <v>152</v>
      </c>
      <c r="BD59" s="40">
        <v>12</v>
      </c>
      <c r="BE59" s="40">
        <v>6.25</v>
      </c>
      <c r="BF59" s="40">
        <v>2.5</v>
      </c>
      <c r="BG59" s="46" t="s">
        <v>335</v>
      </c>
      <c r="BI59" s="60">
        <f t="shared" si="0"/>
        <v>75</v>
      </c>
    </row>
    <row r="60" spans="2:61" ht="15">
      <c r="B60" s="58">
        <v>23</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BB60" s="38" t="s">
        <v>506</v>
      </c>
      <c r="BC60" s="40" t="s">
        <v>184</v>
      </c>
      <c r="BD60" s="40">
        <v>5.7</v>
      </c>
      <c r="BE60" s="40">
        <v>3.65</v>
      </c>
      <c r="BF60" s="40">
        <v>3.5</v>
      </c>
      <c r="BG60" s="46" t="s">
        <v>335</v>
      </c>
      <c r="BI60" s="60">
        <f t="shared" si="0"/>
        <v>20.805</v>
      </c>
    </row>
    <row r="61" spans="2:61" ht="15">
      <c r="B61" s="58">
        <v>22</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BB61" s="38" t="s">
        <v>645</v>
      </c>
      <c r="BC61" s="40" t="s">
        <v>195</v>
      </c>
      <c r="BD61" s="40">
        <v>5.7</v>
      </c>
      <c r="BE61" s="40">
        <v>3.65</v>
      </c>
      <c r="BF61" s="40">
        <v>1</v>
      </c>
      <c r="BG61" s="46" t="s">
        <v>335</v>
      </c>
      <c r="BI61" s="60">
        <f t="shared" si="0"/>
        <v>20.805</v>
      </c>
    </row>
    <row r="62" spans="2:61" ht="15">
      <c r="B62" s="58">
        <v>21</v>
      </c>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BB62" s="38" t="s">
        <v>271</v>
      </c>
      <c r="BC62" s="49" t="s">
        <v>107</v>
      </c>
      <c r="BD62" s="40">
        <v>8</v>
      </c>
      <c r="BE62" s="40">
        <v>8</v>
      </c>
      <c r="BF62" s="40">
        <v>3.5</v>
      </c>
      <c r="BG62" s="46" t="s">
        <v>335</v>
      </c>
      <c r="BI62" s="60">
        <f t="shared" si="0"/>
        <v>64</v>
      </c>
    </row>
    <row r="63" spans="2:61">
      <c r="B63" s="58">
        <v>20</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row>
    <row r="64" spans="2:61" ht="15">
      <c r="B64" s="58">
        <v>19</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BG64" s="62" t="s">
        <v>659</v>
      </c>
      <c r="BI64" s="63">
        <f>SUM(BI2:BI63)</f>
        <v>2668.617499999998</v>
      </c>
    </row>
    <row r="65" spans="2:61">
      <c r="B65" s="58">
        <v>18</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row>
    <row r="66" spans="2:61">
      <c r="B66" s="58">
        <v>17</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BG66" s="64" t="s">
        <v>660</v>
      </c>
      <c r="BI66" s="63">
        <f>48*75</f>
        <v>3600</v>
      </c>
    </row>
    <row r="67" spans="2:61">
      <c r="B67" s="58">
        <v>16</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BG67" s="64" t="s">
        <v>661</v>
      </c>
      <c r="BI67" s="63">
        <f>BI66*0.9</f>
        <v>3240</v>
      </c>
    </row>
    <row r="68" spans="2:61">
      <c r="B68" s="58">
        <v>15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row>
    <row r="69" spans="2:61">
      <c r="B69" s="58">
        <v>14</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BG69" s="61" t="s">
        <v>668</v>
      </c>
    </row>
    <row r="70" spans="2:61">
      <c r="B70" s="58">
        <v>13</v>
      </c>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BG70" s="58" t="s">
        <v>669</v>
      </c>
    </row>
    <row r="71" spans="2:61">
      <c r="B71" s="58">
        <v>12</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row>
    <row r="72" spans="2:61">
      <c r="B72" s="58">
        <v>11</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row>
    <row r="73" spans="2:61">
      <c r="B73" s="58">
        <v>10</v>
      </c>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row>
    <row r="74" spans="2:61">
      <c r="B74" s="58">
        <v>9</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2:61">
      <c r="B75" s="58">
        <v>8</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row>
    <row r="76" spans="2:61">
      <c r="B76" s="58">
        <v>7</v>
      </c>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61">
      <c r="B77" s="58">
        <v>6</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row>
    <row r="78" spans="2:61">
      <c r="B78" s="58">
        <v>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row>
    <row r="79" spans="2:61">
      <c r="B79" s="58">
        <v>4</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row>
    <row r="80" spans="2:61">
      <c r="B80" s="58">
        <v>3</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row>
    <row r="81" spans="2:50">
      <c r="B81" s="58">
        <v>2</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row>
    <row r="82" spans="2:50">
      <c r="B82" s="58">
        <v>1</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row>
    <row r="83" spans="2:50">
      <c r="C83" s="284" t="s">
        <v>664</v>
      </c>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row>
    <row r="84" spans="2:50">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row>
    <row r="85" spans="2:50">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row>
    <row r="86" spans="2:50">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row>
    <row r="87" spans="2:50">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row>
    <row r="88" spans="2:50">
      <c r="C88" s="285" t="s">
        <v>665</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row>
  </sheetData>
  <mergeCells count="2">
    <mergeCell ref="C83:AX84"/>
    <mergeCell ref="C88:AX88"/>
  </mergeCells>
  <conditionalFormatting sqref="BB2:BB4">
    <cfRule type="expression" dxfId="2" priority="1">
      <formula>AND(ROW()-11&gt;#REF!,ROW()-11&lt;=#REF!+#REF!)</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B1:DE135"/>
  <sheetViews>
    <sheetView topLeftCell="CW1" workbookViewId="0">
      <selection activeCell="A24" sqref="A24:XFD24"/>
    </sheetView>
  </sheetViews>
  <sheetFormatPr baseColWidth="10" defaultColWidth="8.83203125" defaultRowHeight="14" x14ac:dyDescent="0"/>
  <cols>
    <col min="1" max="1" width="3.6640625" style="58" customWidth="1"/>
    <col min="2" max="98" width="3.1640625" style="58" customWidth="1"/>
    <col min="99" max="99" width="1.1640625" style="58" customWidth="1"/>
    <col min="100" max="100" width="38.83203125" style="58" customWidth="1"/>
    <col min="101" max="101" width="2.1640625" style="58" customWidth="1"/>
    <col min="102" max="102" width="41.83203125" style="58" customWidth="1"/>
    <col min="103" max="107" width="8.83203125" style="58"/>
    <col min="108" max="108" width="2.6640625" style="58" customWidth="1"/>
    <col min="109" max="16384" width="8.83203125" style="58"/>
  </cols>
  <sheetData>
    <row r="1" spans="2:109" ht="24">
      <c r="B1" s="57" t="s">
        <v>652</v>
      </c>
      <c r="CV1" s="58" t="s">
        <v>653</v>
      </c>
      <c r="CX1" s="30" t="s">
        <v>551</v>
      </c>
      <c r="CY1" s="31" t="s">
        <v>550</v>
      </c>
      <c r="CZ1" s="31" t="s">
        <v>552</v>
      </c>
      <c r="DA1" s="31" t="s">
        <v>553</v>
      </c>
      <c r="DB1" s="31" t="s">
        <v>554</v>
      </c>
      <c r="DC1" s="30" t="s">
        <v>562</v>
      </c>
      <c r="DE1" s="31" t="s">
        <v>654</v>
      </c>
    </row>
    <row r="2" spans="2:109" ht="15">
      <c r="B2" s="58">
        <v>81</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V2" s="58" t="s">
        <v>655</v>
      </c>
      <c r="CX2" s="38" t="s">
        <v>442</v>
      </c>
      <c r="CY2" s="40" t="s">
        <v>165</v>
      </c>
      <c r="CZ2" s="40">
        <v>10</v>
      </c>
      <c r="DA2" s="40">
        <v>14.5</v>
      </c>
      <c r="DB2" s="40">
        <v>3.5</v>
      </c>
      <c r="DC2" s="46" t="s">
        <v>335</v>
      </c>
      <c r="DE2" s="60">
        <f>CZ2*DA2</f>
        <v>145</v>
      </c>
    </row>
    <row r="3" spans="2:109" ht="15">
      <c r="B3" s="58">
        <v>80</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V3" s="58" t="s">
        <v>656</v>
      </c>
      <c r="CX3" s="38" t="s">
        <v>441</v>
      </c>
      <c r="CY3" s="40" t="s">
        <v>443</v>
      </c>
      <c r="CZ3" s="40">
        <v>10</v>
      </c>
      <c r="DA3" s="40">
        <v>14.5</v>
      </c>
      <c r="DB3" s="40">
        <v>3.5</v>
      </c>
      <c r="DC3" s="46" t="s">
        <v>335</v>
      </c>
      <c r="DE3" s="60">
        <f t="shared" ref="DE3:DE66" si="0">CZ3*DA3</f>
        <v>145</v>
      </c>
    </row>
    <row r="4" spans="2:109" ht="15">
      <c r="B4" s="58">
        <v>79</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V4" s="58" t="s">
        <v>657</v>
      </c>
      <c r="CX4" s="38" t="s">
        <v>444</v>
      </c>
      <c r="CY4" s="40" t="s">
        <v>166</v>
      </c>
      <c r="CZ4" s="40">
        <v>8.1300000000000008</v>
      </c>
      <c r="DA4" s="40">
        <v>9</v>
      </c>
      <c r="DB4" s="40">
        <v>3.5</v>
      </c>
      <c r="DC4" s="46" t="s">
        <v>335</v>
      </c>
      <c r="DE4" s="60">
        <f t="shared" si="0"/>
        <v>73.17</v>
      </c>
    </row>
    <row r="5" spans="2:109" ht="15">
      <c r="B5" s="58">
        <v>78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X5" s="38" t="s">
        <v>576</v>
      </c>
      <c r="CY5" s="40" t="s">
        <v>425</v>
      </c>
      <c r="CZ5" s="40">
        <v>10.5</v>
      </c>
      <c r="DA5" s="40">
        <v>4.5</v>
      </c>
      <c r="DB5" s="40">
        <v>1</v>
      </c>
      <c r="DC5" s="46" t="s">
        <v>335</v>
      </c>
      <c r="DE5" s="60">
        <f t="shared" si="0"/>
        <v>47.25</v>
      </c>
    </row>
    <row r="6" spans="2:109" ht="15">
      <c r="B6" s="58">
        <v>77</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X6" s="38" t="s">
        <v>578</v>
      </c>
      <c r="CY6" s="40" t="s">
        <v>419</v>
      </c>
      <c r="CZ6" s="40">
        <v>8.5</v>
      </c>
      <c r="DA6" s="40">
        <v>4.5</v>
      </c>
      <c r="DB6" s="40">
        <v>1</v>
      </c>
      <c r="DC6" s="46" t="s">
        <v>335</v>
      </c>
      <c r="DE6" s="60">
        <f t="shared" si="0"/>
        <v>38.25</v>
      </c>
    </row>
    <row r="7" spans="2:109" ht="15">
      <c r="B7" s="58">
        <v>76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X7" s="38" t="s">
        <v>580</v>
      </c>
      <c r="CY7" s="40" t="s">
        <v>124</v>
      </c>
      <c r="CZ7" s="40">
        <v>13.75</v>
      </c>
      <c r="DA7" s="40">
        <v>3.625</v>
      </c>
      <c r="DB7" s="40">
        <v>2.5</v>
      </c>
      <c r="DC7" s="46" t="s">
        <v>335</v>
      </c>
      <c r="DE7" s="60">
        <f t="shared" si="0"/>
        <v>49.84375</v>
      </c>
    </row>
    <row r="8" spans="2:109" ht="15">
      <c r="B8" s="58">
        <v>75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V8" s="61" t="s">
        <v>658</v>
      </c>
      <c r="CX8" s="38" t="s">
        <v>378</v>
      </c>
      <c r="CY8" s="49" t="s">
        <v>144</v>
      </c>
      <c r="CZ8" s="40">
        <v>8.5</v>
      </c>
      <c r="DA8" s="40">
        <v>8.5</v>
      </c>
      <c r="DB8" s="40">
        <v>2.5</v>
      </c>
      <c r="DC8" s="46" t="s">
        <v>335</v>
      </c>
      <c r="DE8" s="60">
        <f t="shared" si="0"/>
        <v>72.25</v>
      </c>
    </row>
    <row r="9" spans="2:109" ht="15">
      <c r="B9" s="58">
        <v>74</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X9" s="38" t="s">
        <v>582</v>
      </c>
      <c r="CY9" s="40" t="s">
        <v>433</v>
      </c>
      <c r="CZ9" s="40">
        <v>10.5</v>
      </c>
      <c r="DA9" s="40">
        <v>4.5</v>
      </c>
      <c r="DB9" s="40">
        <v>0.5</v>
      </c>
      <c r="DC9" s="46" t="s">
        <v>335</v>
      </c>
      <c r="DE9" s="60">
        <f t="shared" si="0"/>
        <v>47.25</v>
      </c>
    </row>
    <row r="10" spans="2:109" ht="15">
      <c r="B10" s="58">
        <v>73</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X10" s="38" t="s">
        <v>390</v>
      </c>
      <c r="CY10" s="40" t="s">
        <v>148</v>
      </c>
      <c r="CZ10" s="40">
        <v>4</v>
      </c>
      <c r="DA10" s="40">
        <v>6</v>
      </c>
      <c r="DB10" s="40">
        <v>11</v>
      </c>
      <c r="DC10" s="46" t="s">
        <v>335</v>
      </c>
      <c r="DE10" s="60">
        <f t="shared" si="0"/>
        <v>24</v>
      </c>
    </row>
    <row r="11" spans="2:109" ht="15">
      <c r="B11" s="58">
        <v>72</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X11" s="38" t="s">
        <v>392</v>
      </c>
      <c r="CY11" s="40" t="s">
        <v>149</v>
      </c>
      <c r="CZ11" s="40">
        <v>4</v>
      </c>
      <c r="DA11" s="40">
        <v>6</v>
      </c>
      <c r="DB11" s="40">
        <v>11</v>
      </c>
      <c r="DC11" s="46" t="s">
        <v>335</v>
      </c>
      <c r="DE11" s="60">
        <f t="shared" si="0"/>
        <v>24</v>
      </c>
    </row>
    <row r="12" spans="2:109" ht="15">
      <c r="B12" s="58">
        <v>71</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X12" s="38" t="s">
        <v>585</v>
      </c>
      <c r="CY12" s="49" t="s">
        <v>138</v>
      </c>
      <c r="CZ12" s="40">
        <v>10.25</v>
      </c>
      <c r="DA12" s="40">
        <v>3.65</v>
      </c>
      <c r="DB12" s="40">
        <v>2.25</v>
      </c>
      <c r="DC12" s="46" t="s">
        <v>335</v>
      </c>
      <c r="DE12" s="60">
        <f t="shared" si="0"/>
        <v>37.412500000000001</v>
      </c>
    </row>
    <row r="13" spans="2:109" ht="15">
      <c r="B13" s="58">
        <v>70</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X13" s="38" t="s">
        <v>586</v>
      </c>
      <c r="CY13" s="49" t="s">
        <v>145</v>
      </c>
      <c r="CZ13" s="40">
        <v>5.7</v>
      </c>
      <c r="DA13" s="40">
        <v>3.65</v>
      </c>
      <c r="DB13" s="40">
        <v>3</v>
      </c>
      <c r="DC13" s="46" t="s">
        <v>335</v>
      </c>
      <c r="DE13" s="60">
        <f t="shared" si="0"/>
        <v>20.805</v>
      </c>
    </row>
    <row r="14" spans="2:109" ht="15">
      <c r="B14" s="58">
        <v>69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X14" s="38" t="s">
        <v>501</v>
      </c>
      <c r="CY14" s="40" t="s">
        <v>181</v>
      </c>
      <c r="CZ14" s="40">
        <v>8</v>
      </c>
      <c r="DA14" s="40">
        <v>8</v>
      </c>
      <c r="DB14" s="40">
        <v>2</v>
      </c>
      <c r="DC14" s="46" t="s">
        <v>335</v>
      </c>
      <c r="DE14" s="60">
        <f t="shared" si="0"/>
        <v>64</v>
      </c>
    </row>
    <row r="15" spans="2:109" ht="15">
      <c r="B15" s="58">
        <v>68</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X15" s="38" t="s">
        <v>591</v>
      </c>
      <c r="CY15" s="40" t="s">
        <v>127</v>
      </c>
      <c r="CZ15" s="40">
        <v>10</v>
      </c>
      <c r="DA15" s="40">
        <v>6</v>
      </c>
      <c r="DB15" s="40">
        <v>3.5</v>
      </c>
      <c r="DC15" s="46" t="s">
        <v>335</v>
      </c>
      <c r="DE15" s="60">
        <f t="shared" si="0"/>
        <v>60</v>
      </c>
    </row>
    <row r="16" spans="2:109" ht="15">
      <c r="B16" s="58">
        <v>67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X16" s="38" t="s">
        <v>593</v>
      </c>
      <c r="CY16" s="40" t="s">
        <v>132</v>
      </c>
      <c r="CZ16" s="40">
        <v>5.7</v>
      </c>
      <c r="DA16" s="40">
        <v>3.65</v>
      </c>
      <c r="DB16" s="40">
        <v>1.75</v>
      </c>
      <c r="DC16" s="46" t="s">
        <v>335</v>
      </c>
      <c r="DE16" s="60">
        <f t="shared" si="0"/>
        <v>20.805</v>
      </c>
    </row>
    <row r="17" spans="2:109" ht="15">
      <c r="B17" s="58">
        <v>66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X17" s="38" t="s">
        <v>594</v>
      </c>
      <c r="CY17" s="40" t="s">
        <v>157</v>
      </c>
      <c r="CZ17" s="40">
        <v>5.7</v>
      </c>
      <c r="DA17" s="40">
        <v>3.65</v>
      </c>
      <c r="DB17" s="40">
        <v>1.5</v>
      </c>
      <c r="DC17" s="46" t="s">
        <v>335</v>
      </c>
      <c r="DE17" s="60">
        <f t="shared" si="0"/>
        <v>20.805</v>
      </c>
    </row>
    <row r="18" spans="2:109" ht="15">
      <c r="B18" s="58">
        <v>65</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X18" s="38" t="s">
        <v>597</v>
      </c>
      <c r="CY18" s="49" t="s">
        <v>74</v>
      </c>
      <c r="CZ18" s="40">
        <v>10.25</v>
      </c>
      <c r="DA18" s="40">
        <v>3.65</v>
      </c>
      <c r="DB18" s="40">
        <v>2.38</v>
      </c>
      <c r="DC18" s="46" t="s">
        <v>335</v>
      </c>
      <c r="DE18" s="60">
        <f t="shared" si="0"/>
        <v>37.412500000000001</v>
      </c>
    </row>
    <row r="19" spans="2:109" ht="15">
      <c r="B19" s="58">
        <v>64</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X19" s="38" t="s">
        <v>213</v>
      </c>
      <c r="CY19" s="40" t="s">
        <v>81</v>
      </c>
      <c r="CZ19" s="40">
        <v>5.7</v>
      </c>
      <c r="DA19" s="40">
        <v>3.65</v>
      </c>
      <c r="DB19" s="40">
        <v>1.5</v>
      </c>
      <c r="DC19" s="46" t="s">
        <v>335</v>
      </c>
      <c r="DE19" s="60">
        <f t="shared" si="0"/>
        <v>20.805</v>
      </c>
    </row>
    <row r="20" spans="2:109" ht="15">
      <c r="B20" s="58">
        <v>63</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X20" s="38" t="s">
        <v>238</v>
      </c>
      <c r="CY20" s="40" t="s">
        <v>91</v>
      </c>
      <c r="CZ20" s="40">
        <v>8.25</v>
      </c>
      <c r="DA20" s="40">
        <v>5</v>
      </c>
      <c r="DB20" s="40">
        <v>2.5</v>
      </c>
      <c r="DC20" s="46" t="s">
        <v>335</v>
      </c>
      <c r="DE20" s="60">
        <f t="shared" si="0"/>
        <v>41.25</v>
      </c>
    </row>
    <row r="21" spans="2:109" ht="15">
      <c r="B21" s="58">
        <v>62</v>
      </c>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X21" s="38" t="s">
        <v>601</v>
      </c>
      <c r="CY21" s="40" t="s">
        <v>97</v>
      </c>
      <c r="CZ21" s="40">
        <v>7</v>
      </c>
      <c r="DA21" s="40">
        <v>4.75</v>
      </c>
      <c r="DB21" s="40">
        <v>2.5</v>
      </c>
      <c r="DC21" s="46" t="s">
        <v>335</v>
      </c>
      <c r="DE21" s="60">
        <f t="shared" si="0"/>
        <v>33.25</v>
      </c>
    </row>
    <row r="22" spans="2:109" ht="15">
      <c r="B22" s="58">
        <v>61</v>
      </c>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X22" s="38" t="s">
        <v>262</v>
      </c>
      <c r="CY22" s="40" t="s">
        <v>99</v>
      </c>
      <c r="CZ22" s="40">
        <v>8.25</v>
      </c>
      <c r="DA22" s="40">
        <v>5</v>
      </c>
      <c r="DB22" s="40">
        <v>2.5</v>
      </c>
      <c r="DC22" s="46" t="s">
        <v>335</v>
      </c>
      <c r="DE22" s="60">
        <f t="shared" si="0"/>
        <v>41.25</v>
      </c>
    </row>
    <row r="23" spans="2:109" ht="15">
      <c r="B23" s="58">
        <v>60</v>
      </c>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X23" s="38" t="s">
        <v>264</v>
      </c>
      <c r="CY23" s="40" t="s">
        <v>101</v>
      </c>
      <c r="CZ23" s="40">
        <v>8.25</v>
      </c>
      <c r="DA23" s="40">
        <v>5</v>
      </c>
      <c r="DB23" s="40">
        <v>2.5</v>
      </c>
      <c r="DC23" s="46" t="s">
        <v>335</v>
      </c>
      <c r="DE23" s="60">
        <f t="shared" si="0"/>
        <v>41.25</v>
      </c>
    </row>
    <row r="24" spans="2:109" ht="15">
      <c r="B24" s="58">
        <v>59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X24" s="38" t="s">
        <v>522</v>
      </c>
      <c r="CY24" s="40" t="s">
        <v>193</v>
      </c>
      <c r="CZ24" s="40">
        <v>5.7</v>
      </c>
      <c r="DA24" s="40">
        <v>3.65</v>
      </c>
      <c r="DB24" s="40">
        <v>0.5</v>
      </c>
      <c r="DC24" s="46" t="s">
        <v>335</v>
      </c>
      <c r="DE24" s="60">
        <f t="shared" si="0"/>
        <v>20.805</v>
      </c>
    </row>
    <row r="25" spans="2:109" ht="15">
      <c r="B25" s="58">
        <v>58</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X25" s="38" t="s">
        <v>498</v>
      </c>
      <c r="CY25" s="49" t="s">
        <v>179</v>
      </c>
      <c r="CZ25" s="40">
        <v>5.7</v>
      </c>
      <c r="DA25" s="40">
        <v>3.65</v>
      </c>
      <c r="DB25" s="40">
        <v>1.25</v>
      </c>
      <c r="DC25" s="46" t="s">
        <v>335</v>
      </c>
      <c r="DE25" s="60">
        <f t="shared" si="0"/>
        <v>20.805</v>
      </c>
    </row>
    <row r="26" spans="2:109" ht="15">
      <c r="B26" s="58">
        <v>57</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X26" s="38" t="s">
        <v>253</v>
      </c>
      <c r="CY26" s="40" t="s">
        <v>94</v>
      </c>
      <c r="CZ26" s="40">
        <v>5.7</v>
      </c>
      <c r="DA26" s="40">
        <v>3.65</v>
      </c>
      <c r="DB26" s="40">
        <v>0.3</v>
      </c>
      <c r="DC26" s="46" t="s">
        <v>335</v>
      </c>
      <c r="DE26" s="60">
        <f t="shared" si="0"/>
        <v>20.805</v>
      </c>
    </row>
    <row r="27" spans="2:109" ht="15">
      <c r="B27" s="58">
        <v>56</v>
      </c>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X27" s="38" t="s">
        <v>605</v>
      </c>
      <c r="CY27" s="49" t="s">
        <v>167</v>
      </c>
      <c r="CZ27" s="40">
        <v>4.375</v>
      </c>
      <c r="DA27" s="40">
        <v>3.65</v>
      </c>
      <c r="DB27" s="40">
        <v>1.35</v>
      </c>
      <c r="DC27" s="46" t="s">
        <v>335</v>
      </c>
      <c r="DE27" s="60">
        <f t="shared" si="0"/>
        <v>15.96875</v>
      </c>
    </row>
    <row r="28" spans="2:109" ht="15">
      <c r="B28" s="58">
        <v>55</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X28" s="38" t="s">
        <v>606</v>
      </c>
      <c r="CY28" s="49" t="s">
        <v>79</v>
      </c>
      <c r="CZ28" s="40">
        <v>4.375</v>
      </c>
      <c r="DA28" s="40">
        <v>3.65</v>
      </c>
      <c r="DB28" s="40">
        <v>1.38</v>
      </c>
      <c r="DC28" s="46" t="s">
        <v>335</v>
      </c>
      <c r="DE28" s="60">
        <f t="shared" si="0"/>
        <v>15.96875</v>
      </c>
    </row>
    <row r="29" spans="2:109" ht="15">
      <c r="B29" s="58">
        <v>54</v>
      </c>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X29" s="38" t="s">
        <v>303</v>
      </c>
      <c r="CY29" s="40" t="s">
        <v>118</v>
      </c>
      <c r="CZ29" s="40">
        <v>5.7</v>
      </c>
      <c r="DA29" s="40">
        <v>3.65</v>
      </c>
      <c r="DB29" s="40">
        <v>1.77</v>
      </c>
      <c r="DC29" s="46" t="s">
        <v>335</v>
      </c>
      <c r="DE29" s="60">
        <f t="shared" si="0"/>
        <v>20.805</v>
      </c>
    </row>
    <row r="30" spans="2:109" ht="15">
      <c r="B30" s="58">
        <v>53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X30" s="38" t="s">
        <v>415</v>
      </c>
      <c r="CY30" s="40" t="s">
        <v>160</v>
      </c>
      <c r="CZ30" s="40">
        <v>5.7</v>
      </c>
      <c r="DA30" s="40">
        <v>3.65</v>
      </c>
      <c r="DB30" s="40">
        <v>1.5</v>
      </c>
      <c r="DC30" s="46" t="s">
        <v>335</v>
      </c>
      <c r="DE30" s="60">
        <f t="shared" si="0"/>
        <v>20.805</v>
      </c>
    </row>
    <row r="31" spans="2:109" ht="15">
      <c r="B31" s="58">
        <v>52</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X31" s="38" t="s">
        <v>610</v>
      </c>
      <c r="CY31" s="40" t="s">
        <v>319</v>
      </c>
      <c r="CZ31" s="40">
        <v>13.75</v>
      </c>
      <c r="DA31" s="40">
        <v>3.625</v>
      </c>
      <c r="DB31" s="40">
        <v>1.25</v>
      </c>
      <c r="DC31" s="46" t="s">
        <v>335</v>
      </c>
      <c r="DE31" s="60">
        <f t="shared" si="0"/>
        <v>49.84375</v>
      </c>
    </row>
    <row r="32" spans="2:109" ht="15">
      <c r="B32" s="58">
        <v>51</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X32" s="38" t="s">
        <v>339</v>
      </c>
      <c r="CY32" s="40" t="s">
        <v>129</v>
      </c>
      <c r="CZ32" s="40">
        <v>5.7</v>
      </c>
      <c r="DA32" s="40">
        <v>3.65</v>
      </c>
      <c r="DB32" s="40">
        <v>1</v>
      </c>
      <c r="DC32" s="46" t="s">
        <v>335</v>
      </c>
      <c r="DE32" s="60">
        <f t="shared" si="0"/>
        <v>20.805</v>
      </c>
    </row>
    <row r="33" spans="2:109" ht="15">
      <c r="B33" s="58">
        <v>50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X33" s="38" t="s">
        <v>611</v>
      </c>
      <c r="CY33" s="49" t="s">
        <v>86</v>
      </c>
      <c r="CZ33" s="40">
        <v>5.7</v>
      </c>
      <c r="DA33" s="40">
        <v>3.65</v>
      </c>
      <c r="DB33" s="40">
        <v>3</v>
      </c>
      <c r="DC33" s="46" t="s">
        <v>335</v>
      </c>
      <c r="DE33" s="60">
        <f t="shared" si="0"/>
        <v>20.805</v>
      </c>
    </row>
    <row r="34" spans="2:109" ht="15">
      <c r="B34" s="58">
        <v>49</v>
      </c>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X34" s="38" t="s">
        <v>613</v>
      </c>
      <c r="CY34" s="40" t="s">
        <v>109</v>
      </c>
      <c r="CZ34" s="40">
        <v>5.7</v>
      </c>
      <c r="DA34" s="40">
        <v>3.65</v>
      </c>
      <c r="DB34" s="40">
        <v>0.75</v>
      </c>
      <c r="DC34" s="46" t="s">
        <v>335</v>
      </c>
      <c r="DE34" s="60">
        <f t="shared" si="0"/>
        <v>20.805</v>
      </c>
    </row>
    <row r="35" spans="2:109" ht="15">
      <c r="B35" s="58">
        <v>48</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X35" s="38" t="s">
        <v>440</v>
      </c>
      <c r="CY35" s="40" t="s">
        <v>164</v>
      </c>
      <c r="CZ35" s="40">
        <v>5.7</v>
      </c>
      <c r="DA35" s="40">
        <v>3.65</v>
      </c>
      <c r="DB35" s="40">
        <v>2</v>
      </c>
      <c r="DC35" s="46" t="s">
        <v>335</v>
      </c>
      <c r="DE35" s="60">
        <f t="shared" si="0"/>
        <v>20.805</v>
      </c>
    </row>
    <row r="36" spans="2:109" ht="15">
      <c r="B36" s="58">
        <v>47</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X36" s="38" t="s">
        <v>436</v>
      </c>
      <c r="CY36" s="40" t="s">
        <v>162</v>
      </c>
      <c r="CZ36" s="40">
        <v>8.25</v>
      </c>
      <c r="DA36" s="40">
        <v>5.125</v>
      </c>
      <c r="DB36" s="40">
        <v>3</v>
      </c>
      <c r="DC36" s="46" t="s">
        <v>335</v>
      </c>
      <c r="DE36" s="60">
        <f t="shared" si="0"/>
        <v>42.28125</v>
      </c>
    </row>
    <row r="37" spans="2:109" ht="15">
      <c r="B37" s="58">
        <v>46</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X37" s="38" t="s">
        <v>614</v>
      </c>
      <c r="CY37" s="40" t="s">
        <v>178</v>
      </c>
      <c r="CZ37" s="40">
        <v>5.7</v>
      </c>
      <c r="DA37" s="40">
        <v>3.65</v>
      </c>
      <c r="DB37" s="40">
        <v>1</v>
      </c>
      <c r="DC37" s="46" t="s">
        <v>335</v>
      </c>
      <c r="DE37" s="60">
        <f t="shared" si="0"/>
        <v>20.805</v>
      </c>
    </row>
    <row r="38" spans="2:109" ht="15">
      <c r="B38" s="58">
        <v>45</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X38" s="38" t="s">
        <v>616</v>
      </c>
      <c r="CY38" s="40" t="s">
        <v>200</v>
      </c>
      <c r="CZ38" s="40">
        <v>5.7</v>
      </c>
      <c r="DA38" s="40">
        <v>3.65</v>
      </c>
      <c r="DB38" s="40">
        <v>0.3</v>
      </c>
      <c r="DC38" s="46" t="s">
        <v>335</v>
      </c>
      <c r="DE38" s="60">
        <f t="shared" si="0"/>
        <v>20.805</v>
      </c>
    </row>
    <row r="39" spans="2:109" ht="15">
      <c r="B39" s="58">
        <v>44</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X39" s="38" t="s">
        <v>646</v>
      </c>
      <c r="CY39" s="40" t="s">
        <v>259</v>
      </c>
      <c r="CZ39" s="40">
        <v>7</v>
      </c>
      <c r="DA39" s="40">
        <v>4.75</v>
      </c>
      <c r="DB39" s="40">
        <v>2.5</v>
      </c>
      <c r="DC39" s="46" t="s">
        <v>335</v>
      </c>
      <c r="DE39" s="60">
        <f t="shared" si="0"/>
        <v>33.25</v>
      </c>
    </row>
    <row r="40" spans="2:109" ht="15">
      <c r="B40" s="58">
        <v>43</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X40" s="38" t="s">
        <v>649</v>
      </c>
      <c r="CY40" s="40" t="s">
        <v>136</v>
      </c>
      <c r="CZ40" s="40">
        <v>5.7</v>
      </c>
      <c r="DA40" s="40">
        <v>3.65</v>
      </c>
      <c r="DB40" s="40">
        <v>1.75</v>
      </c>
      <c r="DC40" s="46" t="s">
        <v>335</v>
      </c>
      <c r="DE40" s="60">
        <f t="shared" si="0"/>
        <v>20.805</v>
      </c>
    </row>
    <row r="41" spans="2:109" ht="15">
      <c r="B41" s="58">
        <v>42</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X41" s="38" t="s">
        <v>337</v>
      </c>
      <c r="CY41" s="40" t="s">
        <v>128</v>
      </c>
      <c r="CZ41" s="40">
        <v>12</v>
      </c>
      <c r="DA41" s="40">
        <v>11.5</v>
      </c>
      <c r="DB41" s="40">
        <v>2.5</v>
      </c>
      <c r="DC41" s="46" t="s">
        <v>335</v>
      </c>
      <c r="DE41" s="60">
        <f t="shared" si="0"/>
        <v>138</v>
      </c>
    </row>
    <row r="42" spans="2:109" ht="15">
      <c r="B42" s="58">
        <v>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X42" s="38" t="s">
        <v>400</v>
      </c>
      <c r="CY42" s="40" t="s">
        <v>153</v>
      </c>
      <c r="CZ42" s="40">
        <v>3.5</v>
      </c>
      <c r="DA42" s="40">
        <v>3.5</v>
      </c>
      <c r="DB42" s="40">
        <v>11</v>
      </c>
      <c r="DC42" s="46" t="s">
        <v>335</v>
      </c>
      <c r="DE42" s="60">
        <f t="shared" si="0"/>
        <v>12.25</v>
      </c>
    </row>
    <row r="43" spans="2:109" ht="15">
      <c r="B43" s="58">
        <v>40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X43" s="38" t="s">
        <v>343</v>
      </c>
      <c r="CY43" s="40" t="s">
        <v>131</v>
      </c>
      <c r="CZ43" s="40">
        <v>12</v>
      </c>
      <c r="DA43" s="40">
        <v>11.5</v>
      </c>
      <c r="DB43" s="40">
        <v>3.5</v>
      </c>
      <c r="DC43" s="46" t="s">
        <v>335</v>
      </c>
      <c r="DE43" s="60">
        <f t="shared" si="0"/>
        <v>138</v>
      </c>
    </row>
    <row r="44" spans="2:109" ht="15">
      <c r="B44" s="58">
        <v>39</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X44" s="38" t="s">
        <v>515</v>
      </c>
      <c r="CY44" s="40" t="s">
        <v>190</v>
      </c>
      <c r="CZ44" s="40">
        <v>6</v>
      </c>
      <c r="DA44" s="40">
        <v>12</v>
      </c>
      <c r="DB44" s="40">
        <v>12</v>
      </c>
      <c r="DC44" s="46" t="s">
        <v>335</v>
      </c>
      <c r="DE44" s="60">
        <f t="shared" si="0"/>
        <v>72</v>
      </c>
    </row>
    <row r="45" spans="2:109" ht="15">
      <c r="B45" s="58">
        <v>38</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X45" s="38" t="s">
        <v>571</v>
      </c>
      <c r="CY45" s="40" t="s">
        <v>175</v>
      </c>
      <c r="CZ45" s="40">
        <v>25.25</v>
      </c>
      <c r="DA45" s="40">
        <v>5</v>
      </c>
      <c r="DB45" s="40">
        <v>3</v>
      </c>
      <c r="DC45" s="46" t="s">
        <v>335</v>
      </c>
      <c r="DE45" s="60">
        <f t="shared" si="0"/>
        <v>126.25</v>
      </c>
    </row>
    <row r="46" spans="2:109" ht="15">
      <c r="B46" s="58">
        <v>37</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X46" s="38" t="s">
        <v>520</v>
      </c>
      <c r="CY46" s="40" t="s">
        <v>192</v>
      </c>
      <c r="CZ46" s="40">
        <v>8.5</v>
      </c>
      <c r="DA46" s="40">
        <v>8.5</v>
      </c>
      <c r="DB46" s="40">
        <v>4.25</v>
      </c>
      <c r="DC46" s="46" t="s">
        <v>335</v>
      </c>
      <c r="DE46" s="60">
        <f t="shared" si="0"/>
        <v>72.25</v>
      </c>
    </row>
    <row r="47" spans="2:109" ht="15">
      <c r="B47" s="58">
        <v>36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X47" s="38" t="s">
        <v>394</v>
      </c>
      <c r="CY47" s="40" t="s">
        <v>150</v>
      </c>
      <c r="CZ47" s="40">
        <v>5.7</v>
      </c>
      <c r="DA47" s="40">
        <v>3.65</v>
      </c>
      <c r="DB47" s="40">
        <v>1.75</v>
      </c>
      <c r="DC47" s="46" t="s">
        <v>335</v>
      </c>
      <c r="DE47" s="60">
        <f t="shared" si="0"/>
        <v>20.805</v>
      </c>
    </row>
    <row r="48" spans="2:109" ht="15">
      <c r="B48" s="58">
        <v>35</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X48" s="38" t="s">
        <v>396</v>
      </c>
      <c r="CY48" s="40" t="s">
        <v>151</v>
      </c>
      <c r="CZ48" s="40">
        <v>12</v>
      </c>
      <c r="DA48" s="40">
        <v>6.25</v>
      </c>
      <c r="DB48" s="40">
        <v>2.5</v>
      </c>
      <c r="DC48" s="46" t="s">
        <v>335</v>
      </c>
      <c r="DE48" s="60">
        <f t="shared" si="0"/>
        <v>75</v>
      </c>
    </row>
    <row r="49" spans="2:109" ht="15">
      <c r="B49" s="58">
        <v>34</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X49" s="38" t="s">
        <v>324</v>
      </c>
      <c r="CY49" s="40" t="s">
        <v>125</v>
      </c>
      <c r="CZ49" s="40">
        <v>6.5</v>
      </c>
      <c r="DA49" s="40">
        <v>6.25</v>
      </c>
      <c r="DB49" s="40">
        <v>4.5</v>
      </c>
      <c r="DC49" s="46" t="s">
        <v>335</v>
      </c>
      <c r="DE49" s="60">
        <f t="shared" si="0"/>
        <v>40.625</v>
      </c>
    </row>
    <row r="50" spans="2:109" ht="15">
      <c r="B50" s="58">
        <v>33</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X50" s="38" t="s">
        <v>266</v>
      </c>
      <c r="CY50" s="49" t="s">
        <v>103</v>
      </c>
      <c r="CZ50" s="40">
        <v>11.75</v>
      </c>
      <c r="DA50" s="40">
        <v>5.125</v>
      </c>
      <c r="DB50" s="40">
        <v>2.75</v>
      </c>
      <c r="DC50" s="46" t="s">
        <v>335</v>
      </c>
      <c r="DE50" s="60">
        <f t="shared" si="0"/>
        <v>60.21875</v>
      </c>
    </row>
    <row r="51" spans="2:109" ht="15">
      <c r="B51" s="58">
        <v>32</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X51" s="38" t="s">
        <v>405</v>
      </c>
      <c r="CY51" s="40" t="s">
        <v>155</v>
      </c>
      <c r="CZ51" s="40">
        <v>9.5</v>
      </c>
      <c r="DA51" s="40">
        <v>5</v>
      </c>
      <c r="DB51" s="40">
        <v>2</v>
      </c>
      <c r="DC51" s="46" t="s">
        <v>335</v>
      </c>
      <c r="DE51" s="60">
        <f t="shared" si="0"/>
        <v>47.5</v>
      </c>
    </row>
    <row r="52" spans="2:109" ht="15">
      <c r="B52" s="58">
        <v>31</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X52" s="38" t="s">
        <v>403</v>
      </c>
      <c r="CY52" s="40" t="s">
        <v>154</v>
      </c>
      <c r="CZ52" s="40">
        <v>9.5</v>
      </c>
      <c r="DA52" s="40">
        <v>5</v>
      </c>
      <c r="DB52" s="40">
        <v>2</v>
      </c>
      <c r="DC52" s="46" t="s">
        <v>335</v>
      </c>
      <c r="DE52" s="60">
        <f t="shared" si="0"/>
        <v>47.5</v>
      </c>
    </row>
    <row r="53" spans="2:109" ht="15">
      <c r="B53" s="58">
        <v>30</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X53" s="38" t="s">
        <v>375</v>
      </c>
      <c r="CY53" s="49" t="s">
        <v>143</v>
      </c>
      <c r="CZ53" s="40">
        <v>8.5</v>
      </c>
      <c r="DA53" s="40">
        <v>8.5</v>
      </c>
      <c r="DB53" s="40">
        <v>2.5</v>
      </c>
      <c r="DC53" s="46" t="s">
        <v>335</v>
      </c>
      <c r="DE53" s="60">
        <f t="shared" si="0"/>
        <v>72.25</v>
      </c>
    </row>
    <row r="54" spans="2:109" ht="15">
      <c r="B54" s="58">
        <v>29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X54" s="38" t="s">
        <v>275</v>
      </c>
      <c r="CY54" s="49" t="s">
        <v>274</v>
      </c>
      <c r="CZ54" s="40">
        <v>8</v>
      </c>
      <c r="DA54" s="40">
        <v>8</v>
      </c>
      <c r="DB54" s="40">
        <v>3.5</v>
      </c>
      <c r="DC54" s="46" t="s">
        <v>335</v>
      </c>
      <c r="DE54" s="60">
        <f t="shared" si="0"/>
        <v>64</v>
      </c>
    </row>
    <row r="55" spans="2:109" ht="15">
      <c r="B55" s="58">
        <v>28</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X55" s="38" t="s">
        <v>351</v>
      </c>
      <c r="CY55" s="40" t="s">
        <v>135</v>
      </c>
      <c r="CZ55" s="40">
        <v>5.7</v>
      </c>
      <c r="DA55" s="40">
        <v>3.65</v>
      </c>
      <c r="DB55" s="40">
        <v>1.25</v>
      </c>
      <c r="DC55" s="46" t="s">
        <v>335</v>
      </c>
      <c r="DE55" s="60">
        <f t="shared" si="0"/>
        <v>20.805</v>
      </c>
    </row>
    <row r="56" spans="2:109" ht="15">
      <c r="B56" s="58">
        <v>27</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X56" s="38" t="s">
        <v>369</v>
      </c>
      <c r="CY56" s="40" t="s">
        <v>140</v>
      </c>
      <c r="CZ56" s="40">
        <v>7.375</v>
      </c>
      <c r="DA56" s="40">
        <v>4.875</v>
      </c>
      <c r="DB56" s="40">
        <v>4</v>
      </c>
      <c r="DC56" s="46" t="s">
        <v>335</v>
      </c>
      <c r="DE56" s="60">
        <f t="shared" si="0"/>
        <v>35.953125</v>
      </c>
    </row>
    <row r="57" spans="2:109" ht="15">
      <c r="B57" s="58">
        <v>26</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X57" s="38" t="s">
        <v>583</v>
      </c>
      <c r="CY57" s="40" t="s">
        <v>186</v>
      </c>
      <c r="CZ57" s="40">
        <v>5.4</v>
      </c>
      <c r="DA57" s="40">
        <v>5.3</v>
      </c>
      <c r="DB57" s="40">
        <v>1.25</v>
      </c>
      <c r="DC57" s="46" t="s">
        <v>335</v>
      </c>
      <c r="DE57" s="60">
        <f t="shared" si="0"/>
        <v>28.62</v>
      </c>
    </row>
    <row r="58" spans="2:109" ht="15">
      <c r="B58" s="58">
        <v>25</v>
      </c>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X58" s="38" t="s">
        <v>269</v>
      </c>
      <c r="CY58" s="49" t="s">
        <v>105</v>
      </c>
      <c r="CZ58" s="40">
        <v>6.8</v>
      </c>
      <c r="DA58" s="40">
        <v>5.125</v>
      </c>
      <c r="DB58" s="40">
        <v>2.75</v>
      </c>
      <c r="DC58" s="46" t="s">
        <v>335</v>
      </c>
      <c r="DE58" s="60">
        <f t="shared" si="0"/>
        <v>34.85</v>
      </c>
    </row>
    <row r="59" spans="2:109" ht="15">
      <c r="B59" s="58">
        <v>24</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X59" s="38" t="s">
        <v>587</v>
      </c>
      <c r="CY59" s="40" t="s">
        <v>170</v>
      </c>
      <c r="CZ59" s="40">
        <v>7.375</v>
      </c>
      <c r="DA59" s="40">
        <v>4.875</v>
      </c>
      <c r="DB59" s="40">
        <v>2</v>
      </c>
      <c r="DC59" s="46" t="s">
        <v>335</v>
      </c>
      <c r="DE59" s="60">
        <f t="shared" si="0"/>
        <v>35.953125</v>
      </c>
    </row>
    <row r="60" spans="2:109" ht="15">
      <c r="B60" s="58">
        <v>23</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X60" s="38" t="s">
        <v>588</v>
      </c>
      <c r="CY60" s="40" t="s">
        <v>108</v>
      </c>
      <c r="CZ60" s="40">
        <v>5.7</v>
      </c>
      <c r="DA60" s="40">
        <v>3.65</v>
      </c>
      <c r="DB60" s="40">
        <v>1</v>
      </c>
      <c r="DC60" s="46" t="s">
        <v>335</v>
      </c>
      <c r="DE60" s="60">
        <f t="shared" si="0"/>
        <v>20.805</v>
      </c>
    </row>
    <row r="61" spans="2:109" ht="15">
      <c r="B61" s="58">
        <v>22</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X61" s="38" t="s">
        <v>589</v>
      </c>
      <c r="CY61" s="40" t="s">
        <v>174</v>
      </c>
      <c r="CZ61" s="40">
        <v>7.375</v>
      </c>
      <c r="DA61" s="40">
        <v>5</v>
      </c>
      <c r="DB61" s="40">
        <v>3</v>
      </c>
      <c r="DC61" s="46" t="s">
        <v>335</v>
      </c>
      <c r="DE61" s="60">
        <f t="shared" si="0"/>
        <v>36.875</v>
      </c>
    </row>
    <row r="62" spans="2:109" ht="15">
      <c r="B62" s="58">
        <v>21</v>
      </c>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X62" s="38" t="s">
        <v>362</v>
      </c>
      <c r="CY62" s="40" t="s">
        <v>139</v>
      </c>
      <c r="CZ62" s="40">
        <v>7.375</v>
      </c>
      <c r="DA62" s="40">
        <v>4.875</v>
      </c>
      <c r="DB62" s="40">
        <v>1</v>
      </c>
      <c r="DC62" s="46" t="s">
        <v>335</v>
      </c>
      <c r="DE62" s="60">
        <f t="shared" si="0"/>
        <v>35.953125</v>
      </c>
    </row>
    <row r="63" spans="2:109" ht="15">
      <c r="B63" s="58">
        <v>20</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X63" s="38" t="s">
        <v>224</v>
      </c>
      <c r="CY63" s="40" t="s">
        <v>90</v>
      </c>
      <c r="CZ63" s="40">
        <v>6.5</v>
      </c>
      <c r="DA63" s="40">
        <v>3.65</v>
      </c>
      <c r="DB63" s="40">
        <v>3</v>
      </c>
      <c r="DC63" s="46" t="s">
        <v>335</v>
      </c>
      <c r="DE63" s="60">
        <f t="shared" si="0"/>
        <v>23.724999999999998</v>
      </c>
    </row>
    <row r="64" spans="2:109" ht="15">
      <c r="B64" s="58">
        <v>19</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X64" s="38" t="s">
        <v>286</v>
      </c>
      <c r="CY64" s="40" t="s">
        <v>110</v>
      </c>
      <c r="CZ64" s="40">
        <v>5.7</v>
      </c>
      <c r="DA64" s="40">
        <v>3.65</v>
      </c>
      <c r="DB64" s="40">
        <v>0.75</v>
      </c>
      <c r="DC64" s="46" t="s">
        <v>335</v>
      </c>
      <c r="DE64" s="60">
        <f t="shared" si="0"/>
        <v>20.805</v>
      </c>
    </row>
    <row r="65" spans="2:109" ht="15">
      <c r="B65" s="58">
        <v>18</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X65" s="38" t="s">
        <v>479</v>
      </c>
      <c r="CY65" s="40" t="s">
        <v>171</v>
      </c>
      <c r="CZ65" s="40">
        <v>7.375</v>
      </c>
      <c r="DA65" s="40">
        <v>4.875</v>
      </c>
      <c r="DB65" s="40">
        <v>3</v>
      </c>
      <c r="DC65" s="46" t="s">
        <v>335</v>
      </c>
      <c r="DE65" s="60">
        <f t="shared" si="0"/>
        <v>35.953125</v>
      </c>
    </row>
    <row r="66" spans="2:109" ht="15">
      <c r="B66" s="58">
        <v>17</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X66" s="38" t="s">
        <v>492</v>
      </c>
      <c r="CY66" s="49" t="s">
        <v>176</v>
      </c>
      <c r="CZ66" s="40">
        <v>5.7</v>
      </c>
      <c r="DA66" s="40">
        <v>3.65</v>
      </c>
      <c r="DB66" s="40">
        <v>3</v>
      </c>
      <c r="DC66" s="46" t="s">
        <v>335</v>
      </c>
      <c r="DE66" s="60">
        <f t="shared" si="0"/>
        <v>20.805</v>
      </c>
    </row>
    <row r="67" spans="2:109" ht="15">
      <c r="B67" s="58">
        <v>16</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X67" s="38" t="s">
        <v>221</v>
      </c>
      <c r="CY67" s="40" t="s">
        <v>89</v>
      </c>
      <c r="CZ67" s="40">
        <v>6.5</v>
      </c>
      <c r="DA67" s="40">
        <v>3.65</v>
      </c>
      <c r="DB67" s="40">
        <v>2.25</v>
      </c>
      <c r="DC67" s="46" t="s">
        <v>335</v>
      </c>
      <c r="DE67" s="60">
        <f t="shared" ref="DE67:DE127" si="1">CZ67*DA67</f>
        <v>23.724999999999998</v>
      </c>
    </row>
    <row r="68" spans="2:109" ht="15">
      <c r="B68" s="58">
        <v>15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X68" s="38" t="s">
        <v>288</v>
      </c>
      <c r="CY68" s="40" t="s">
        <v>112</v>
      </c>
      <c r="CZ68" s="40">
        <v>5.7</v>
      </c>
      <c r="DA68" s="40">
        <v>3.65</v>
      </c>
      <c r="DB68" s="40">
        <v>0.75</v>
      </c>
      <c r="DC68" s="46" t="s">
        <v>335</v>
      </c>
      <c r="DE68" s="60">
        <f t="shared" si="1"/>
        <v>20.805</v>
      </c>
    </row>
    <row r="69" spans="2:109" ht="15">
      <c r="B69" s="58">
        <v>14</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X69" s="38" t="s">
        <v>592</v>
      </c>
      <c r="CY69" s="40" t="s">
        <v>172</v>
      </c>
      <c r="CZ69" s="40">
        <v>7.375</v>
      </c>
      <c r="DA69" s="40">
        <v>4.875</v>
      </c>
      <c r="DB69" s="40">
        <v>3</v>
      </c>
      <c r="DC69" s="46" t="s">
        <v>335</v>
      </c>
      <c r="DE69" s="60">
        <f t="shared" si="1"/>
        <v>35.953125</v>
      </c>
    </row>
    <row r="70" spans="2:109" ht="15">
      <c r="B70" s="58">
        <v>13</v>
      </c>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X70" s="38" t="s">
        <v>216</v>
      </c>
      <c r="CY70" s="40" t="s">
        <v>83</v>
      </c>
      <c r="CZ70" s="40">
        <v>5.7</v>
      </c>
      <c r="DA70" s="40">
        <v>3.65</v>
      </c>
      <c r="DB70" s="40">
        <v>2</v>
      </c>
      <c r="DC70" s="46" t="s">
        <v>335</v>
      </c>
      <c r="DE70" s="60">
        <f t="shared" si="1"/>
        <v>20.805</v>
      </c>
    </row>
    <row r="71" spans="2:109" ht="15">
      <c r="B71" s="58">
        <v>12</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X71" s="38" t="s">
        <v>290</v>
      </c>
      <c r="CY71" s="40" t="s">
        <v>114</v>
      </c>
      <c r="CZ71" s="40">
        <v>5.7</v>
      </c>
      <c r="DA71" s="40">
        <v>3.65</v>
      </c>
      <c r="DB71" s="40">
        <v>0.75</v>
      </c>
      <c r="DC71" s="46" t="s">
        <v>335</v>
      </c>
      <c r="DE71" s="60">
        <f t="shared" si="1"/>
        <v>20.805</v>
      </c>
    </row>
    <row r="72" spans="2:109" ht="15">
      <c r="B72" s="58">
        <v>11</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X72" s="38" t="s">
        <v>373</v>
      </c>
      <c r="CY72" s="40" t="s">
        <v>142</v>
      </c>
      <c r="CZ72" s="40">
        <v>5.7</v>
      </c>
      <c r="DA72" s="40">
        <v>3.65</v>
      </c>
      <c r="DB72" s="40">
        <v>3.5</v>
      </c>
      <c r="DC72" s="46" t="s">
        <v>335</v>
      </c>
      <c r="DE72" s="60">
        <f t="shared" si="1"/>
        <v>20.805</v>
      </c>
    </row>
    <row r="73" spans="2:109" ht="15">
      <c r="B73" s="58">
        <v>10</v>
      </c>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X73" s="38" t="s">
        <v>494</v>
      </c>
      <c r="CY73" s="40" t="s">
        <v>177</v>
      </c>
      <c r="CZ73" s="40">
        <v>5.7</v>
      </c>
      <c r="DA73" s="40">
        <v>3.65</v>
      </c>
      <c r="DB73" s="40">
        <v>3.75</v>
      </c>
      <c r="DC73" s="46" t="s">
        <v>335</v>
      </c>
      <c r="DE73" s="60">
        <f t="shared" si="1"/>
        <v>20.805</v>
      </c>
    </row>
    <row r="74" spans="2:109" ht="15">
      <c r="B74" s="58">
        <v>9</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X74" s="38" t="s">
        <v>299</v>
      </c>
      <c r="CY74" s="40" t="s">
        <v>116</v>
      </c>
      <c r="CZ74" s="40">
        <v>5.7</v>
      </c>
      <c r="DA74" s="40">
        <v>3.65</v>
      </c>
      <c r="DB74" s="40">
        <v>1</v>
      </c>
      <c r="DC74" s="46" t="s">
        <v>335</v>
      </c>
      <c r="DE74" s="60">
        <f t="shared" si="1"/>
        <v>20.805</v>
      </c>
    </row>
    <row r="75" spans="2:109" ht="15">
      <c r="B75" s="58">
        <v>8</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X75" s="38" t="s">
        <v>596</v>
      </c>
      <c r="CY75" s="40" t="s">
        <v>173</v>
      </c>
      <c r="CZ75" s="40">
        <v>7.375</v>
      </c>
      <c r="DA75" s="40">
        <v>4.875</v>
      </c>
      <c r="DB75" s="40">
        <v>3</v>
      </c>
      <c r="DC75" s="46" t="s">
        <v>335</v>
      </c>
      <c r="DE75" s="60">
        <f t="shared" si="1"/>
        <v>35.953125</v>
      </c>
    </row>
    <row r="76" spans="2:109" ht="15">
      <c r="B76" s="58">
        <v>7</v>
      </c>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X76" s="38" t="s">
        <v>301</v>
      </c>
      <c r="CY76" s="40" t="s">
        <v>117</v>
      </c>
      <c r="CZ76" s="40">
        <v>5.7</v>
      </c>
      <c r="DA76" s="40">
        <v>3.65</v>
      </c>
      <c r="DB76" s="40">
        <v>1</v>
      </c>
      <c r="DC76" s="46" t="s">
        <v>335</v>
      </c>
      <c r="DE76" s="60">
        <f t="shared" si="1"/>
        <v>20.805</v>
      </c>
    </row>
    <row r="77" spans="2:109" ht="15">
      <c r="B77" s="58">
        <v>6</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X77" s="38" t="s">
        <v>598</v>
      </c>
      <c r="CY77" s="40" t="s">
        <v>168</v>
      </c>
      <c r="CZ77" s="40">
        <v>10.25</v>
      </c>
      <c r="DA77" s="40">
        <v>3.65</v>
      </c>
      <c r="DB77" s="40">
        <v>2.38</v>
      </c>
      <c r="DC77" s="46" t="s">
        <v>335</v>
      </c>
      <c r="DE77" s="60">
        <f t="shared" si="1"/>
        <v>37.412500000000001</v>
      </c>
    </row>
    <row r="78" spans="2:109" ht="15">
      <c r="B78" s="58">
        <v>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X78" s="38" t="s">
        <v>398</v>
      </c>
      <c r="CY78" s="40" t="s">
        <v>152</v>
      </c>
      <c r="CZ78" s="40">
        <v>12</v>
      </c>
      <c r="DA78" s="40">
        <v>6.25</v>
      </c>
      <c r="DB78" s="40">
        <v>2.5</v>
      </c>
      <c r="DC78" s="46" t="s">
        <v>335</v>
      </c>
      <c r="DE78" s="60">
        <f t="shared" si="1"/>
        <v>75</v>
      </c>
    </row>
    <row r="79" spans="2:109" ht="15">
      <c r="B79" s="58">
        <v>4</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X79" s="38" t="s">
        <v>506</v>
      </c>
      <c r="CY79" s="40" t="s">
        <v>184</v>
      </c>
      <c r="CZ79" s="40">
        <v>5.7</v>
      </c>
      <c r="DA79" s="40">
        <v>3.65</v>
      </c>
      <c r="DB79" s="40">
        <v>3.5</v>
      </c>
      <c r="DC79" s="46" t="s">
        <v>335</v>
      </c>
      <c r="DE79" s="60">
        <f t="shared" si="1"/>
        <v>20.805</v>
      </c>
    </row>
    <row r="80" spans="2:109" ht="15">
      <c r="B80" s="58">
        <v>3</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X80" s="38" t="s">
        <v>607</v>
      </c>
      <c r="CY80" s="40" t="s">
        <v>169</v>
      </c>
      <c r="CZ80" s="40">
        <v>4.375</v>
      </c>
      <c r="DA80" s="40">
        <v>3.65</v>
      </c>
      <c r="DB80" s="40">
        <v>1.35</v>
      </c>
      <c r="DC80" s="46" t="s">
        <v>335</v>
      </c>
      <c r="DE80" s="60">
        <f t="shared" si="1"/>
        <v>15.96875</v>
      </c>
    </row>
    <row r="81" spans="2:109" ht="15">
      <c r="B81" s="58">
        <v>2</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X81" s="38" t="s">
        <v>609</v>
      </c>
      <c r="CY81" s="40" t="s">
        <v>329</v>
      </c>
      <c r="CZ81" s="40">
        <v>6.5</v>
      </c>
      <c r="DA81" s="40">
        <v>6.25</v>
      </c>
      <c r="DB81" s="40">
        <v>4.5</v>
      </c>
      <c r="DC81" s="46" t="s">
        <v>335</v>
      </c>
      <c r="DE81" s="60">
        <f t="shared" si="1"/>
        <v>40.625</v>
      </c>
    </row>
    <row r="82" spans="2:109" ht="15">
      <c r="B82" s="58">
        <v>1</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X82" s="38" t="s">
        <v>500</v>
      </c>
      <c r="CY82" s="40" t="s">
        <v>180</v>
      </c>
      <c r="CZ82" s="40">
        <v>8</v>
      </c>
      <c r="DA82" s="40">
        <v>8</v>
      </c>
      <c r="DB82" s="40">
        <v>2</v>
      </c>
      <c r="DC82" s="46" t="s">
        <v>335</v>
      </c>
      <c r="DE82" s="60">
        <f t="shared" si="1"/>
        <v>64</v>
      </c>
    </row>
    <row r="83" spans="2:109" ht="15">
      <c r="C83" s="286" t="s">
        <v>664</v>
      </c>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X83" s="38" t="s">
        <v>508</v>
      </c>
      <c r="CY83" s="40" t="s">
        <v>185</v>
      </c>
      <c r="CZ83" s="40">
        <v>4</v>
      </c>
      <c r="DA83" s="40">
        <v>6</v>
      </c>
      <c r="DB83" s="40">
        <v>11</v>
      </c>
      <c r="DC83" s="46" t="s">
        <v>335</v>
      </c>
      <c r="DE83" s="60">
        <f t="shared" si="1"/>
        <v>24</v>
      </c>
    </row>
    <row r="84" spans="2:109" ht="15">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c r="BP84" s="284"/>
      <c r="BQ84" s="284"/>
      <c r="BR84" s="284"/>
      <c r="BS84" s="284"/>
      <c r="BT84" s="284"/>
      <c r="BU84" s="284"/>
      <c r="BV84" s="284"/>
      <c r="BW84" s="284"/>
      <c r="BX84" s="284"/>
      <c r="BY84" s="284"/>
      <c r="BZ84" s="284"/>
      <c r="CA84" s="284"/>
      <c r="CB84" s="284"/>
      <c r="CC84" s="284"/>
      <c r="CD84" s="284"/>
      <c r="CE84" s="284"/>
      <c r="CF84" s="284"/>
      <c r="CG84" s="284"/>
      <c r="CH84" s="284"/>
      <c r="CI84" s="284"/>
      <c r="CJ84" s="284"/>
      <c r="CK84" s="284"/>
      <c r="CL84" s="284"/>
      <c r="CM84" s="284"/>
      <c r="CN84" s="284"/>
      <c r="CO84" s="284"/>
      <c r="CP84" s="284"/>
      <c r="CQ84" s="284"/>
      <c r="CR84" s="284"/>
      <c r="CS84" s="284"/>
      <c r="CT84" s="284"/>
      <c r="CX84" s="38" t="s">
        <v>517</v>
      </c>
      <c r="CY84" s="40" t="s">
        <v>516</v>
      </c>
      <c r="CZ84" s="40">
        <v>8.5</v>
      </c>
      <c r="DA84" s="40">
        <v>8.5</v>
      </c>
      <c r="DB84" s="40">
        <v>4.25</v>
      </c>
      <c r="DC84" s="46" t="s">
        <v>335</v>
      </c>
      <c r="DE84" s="60">
        <f t="shared" si="1"/>
        <v>72.25</v>
      </c>
    </row>
    <row r="85" spans="2:109" ht="15">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c r="BJ85" s="284"/>
      <c r="BK85" s="284"/>
      <c r="BL85" s="284"/>
      <c r="BM85" s="284"/>
      <c r="BN85" s="284"/>
      <c r="BO85" s="284"/>
      <c r="BP85" s="284"/>
      <c r="BQ85" s="284"/>
      <c r="BR85" s="284"/>
      <c r="BS85" s="284"/>
      <c r="BT85" s="284"/>
      <c r="BU85" s="284"/>
      <c r="BV85" s="284"/>
      <c r="BW85" s="284"/>
      <c r="BX85" s="284"/>
      <c r="BY85" s="284"/>
      <c r="BZ85" s="284"/>
      <c r="CA85" s="284"/>
      <c r="CB85" s="284"/>
      <c r="CC85" s="284"/>
      <c r="CD85" s="284"/>
      <c r="CE85" s="284"/>
      <c r="CF85" s="284"/>
      <c r="CG85" s="284"/>
      <c r="CH85" s="284"/>
      <c r="CI85" s="284"/>
      <c r="CJ85" s="284"/>
      <c r="CK85" s="284"/>
      <c r="CL85" s="284"/>
      <c r="CM85" s="284"/>
      <c r="CN85" s="284"/>
      <c r="CO85" s="284"/>
      <c r="CP85" s="284"/>
      <c r="CQ85" s="284"/>
      <c r="CR85" s="284"/>
      <c r="CS85" s="284"/>
      <c r="CT85" s="284"/>
      <c r="CX85" s="38" t="s">
        <v>317</v>
      </c>
      <c r="CY85" s="40" t="s">
        <v>316</v>
      </c>
      <c r="CZ85" s="40">
        <v>13.4</v>
      </c>
      <c r="DA85" s="40">
        <v>6.4</v>
      </c>
      <c r="DB85" s="40">
        <v>3</v>
      </c>
      <c r="DC85" s="46" t="s">
        <v>335</v>
      </c>
      <c r="DE85" s="60">
        <f t="shared" si="1"/>
        <v>85.76</v>
      </c>
    </row>
    <row r="86" spans="2:109" ht="15">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284"/>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4"/>
      <c r="CE86" s="284"/>
      <c r="CF86" s="284"/>
      <c r="CG86" s="284"/>
      <c r="CH86" s="284"/>
      <c r="CI86" s="284"/>
      <c r="CJ86" s="284"/>
      <c r="CK86" s="284"/>
      <c r="CL86" s="284"/>
      <c r="CM86" s="284"/>
      <c r="CN86" s="284"/>
      <c r="CO86" s="284"/>
      <c r="CP86" s="284"/>
      <c r="CQ86" s="284"/>
      <c r="CR86" s="284"/>
      <c r="CS86" s="284"/>
      <c r="CT86" s="284"/>
      <c r="CX86" s="38" t="s">
        <v>243</v>
      </c>
      <c r="CY86" s="40" t="s">
        <v>242</v>
      </c>
      <c r="CZ86" s="40">
        <v>8.25</v>
      </c>
      <c r="DA86" s="40">
        <v>5</v>
      </c>
      <c r="DB86" s="40">
        <v>2.5</v>
      </c>
      <c r="DC86" s="46" t="s">
        <v>335</v>
      </c>
      <c r="DE86" s="60">
        <f t="shared" si="1"/>
        <v>41.25</v>
      </c>
    </row>
    <row r="87" spans="2:109" ht="15">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c r="CC87" s="284"/>
      <c r="CD87" s="284"/>
      <c r="CE87" s="284"/>
      <c r="CF87" s="284"/>
      <c r="CG87" s="284"/>
      <c r="CH87" s="284"/>
      <c r="CI87" s="284"/>
      <c r="CJ87" s="284"/>
      <c r="CK87" s="284"/>
      <c r="CL87" s="284"/>
      <c r="CM87" s="284"/>
      <c r="CN87" s="284"/>
      <c r="CO87" s="284"/>
      <c r="CP87" s="284"/>
      <c r="CQ87" s="284"/>
      <c r="CR87" s="284"/>
      <c r="CS87" s="284"/>
      <c r="CT87" s="284"/>
      <c r="CX87" s="38" t="s">
        <v>326</v>
      </c>
      <c r="CY87" s="40" t="s">
        <v>126</v>
      </c>
      <c r="CZ87" s="40">
        <v>6.5</v>
      </c>
      <c r="DA87" s="40">
        <v>6.25</v>
      </c>
      <c r="DB87" s="40">
        <v>4.5</v>
      </c>
      <c r="DC87" s="46" t="s">
        <v>335</v>
      </c>
      <c r="DE87" s="60">
        <f t="shared" si="1"/>
        <v>40.625</v>
      </c>
    </row>
    <row r="88" spans="2:109" ht="15">
      <c r="C88" s="285" t="s">
        <v>665</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5"/>
      <c r="BR88" s="285"/>
      <c r="BS88" s="285"/>
      <c r="BT88" s="285"/>
      <c r="BU88" s="285"/>
      <c r="BV88" s="285"/>
      <c r="BW88" s="285"/>
      <c r="BX88" s="285"/>
      <c r="BY88" s="285"/>
      <c r="BZ88" s="285"/>
      <c r="CA88" s="285"/>
      <c r="CB88" s="285"/>
      <c r="CC88" s="285"/>
      <c r="CD88" s="285"/>
      <c r="CE88" s="285"/>
      <c r="CF88" s="285"/>
      <c r="CG88" s="285"/>
      <c r="CH88" s="285"/>
      <c r="CI88" s="285"/>
      <c r="CJ88" s="285"/>
      <c r="CK88" s="285"/>
      <c r="CL88" s="285"/>
      <c r="CM88" s="285"/>
      <c r="CN88" s="285"/>
      <c r="CO88" s="285"/>
      <c r="CP88" s="285"/>
      <c r="CQ88" s="285"/>
      <c r="CR88" s="285"/>
      <c r="CS88" s="285"/>
      <c r="CT88" s="285"/>
      <c r="CX88" s="38" t="s">
        <v>619</v>
      </c>
      <c r="CY88" s="40" t="s">
        <v>158</v>
      </c>
      <c r="CZ88" s="40">
        <v>5.7</v>
      </c>
      <c r="DA88" s="40">
        <v>3.65</v>
      </c>
      <c r="DB88" s="40">
        <v>1.5</v>
      </c>
      <c r="DC88" s="46" t="s">
        <v>335</v>
      </c>
      <c r="DE88" s="60">
        <f t="shared" si="1"/>
        <v>20.805</v>
      </c>
    </row>
    <row r="89" spans="2:109" ht="15">
      <c r="CX89" s="38" t="s">
        <v>620</v>
      </c>
      <c r="CY89" s="40" t="s">
        <v>159</v>
      </c>
      <c r="CZ89" s="40">
        <v>5.7</v>
      </c>
      <c r="DA89" s="40">
        <v>3.65</v>
      </c>
      <c r="DB89" s="40">
        <v>1.5</v>
      </c>
      <c r="DC89" s="46" t="s">
        <v>335</v>
      </c>
      <c r="DE89" s="60">
        <f t="shared" si="1"/>
        <v>20.805</v>
      </c>
    </row>
    <row r="90" spans="2:109" ht="15">
      <c r="CX90" s="38" t="s">
        <v>621</v>
      </c>
      <c r="CY90" s="40" t="s">
        <v>120</v>
      </c>
      <c r="CZ90" s="40">
        <v>5.7</v>
      </c>
      <c r="DA90" s="40">
        <v>3.65</v>
      </c>
      <c r="DB90" s="40">
        <v>2.5</v>
      </c>
      <c r="DC90" s="46" t="s">
        <v>335</v>
      </c>
      <c r="DE90" s="60">
        <f t="shared" si="1"/>
        <v>20.805</v>
      </c>
    </row>
    <row r="91" spans="2:109" ht="15">
      <c r="CX91" s="38" t="s">
        <v>622</v>
      </c>
      <c r="CY91" s="40" t="s">
        <v>182</v>
      </c>
      <c r="CZ91" s="40">
        <v>5.7</v>
      </c>
      <c r="DA91" s="40">
        <v>3.65</v>
      </c>
      <c r="DB91" s="40">
        <v>1.5</v>
      </c>
      <c r="DC91" s="46" t="s">
        <v>335</v>
      </c>
      <c r="DE91" s="60">
        <f t="shared" si="1"/>
        <v>20.805</v>
      </c>
    </row>
    <row r="92" spans="2:109" ht="15">
      <c r="CX92" s="38" t="s">
        <v>623</v>
      </c>
      <c r="CY92" s="40" t="s">
        <v>183</v>
      </c>
      <c r="CZ92" s="40">
        <v>5.7</v>
      </c>
      <c r="DA92" s="40">
        <v>3.65</v>
      </c>
      <c r="DB92" s="40">
        <v>1.5</v>
      </c>
      <c r="DC92" s="46" t="s">
        <v>335</v>
      </c>
      <c r="DE92" s="60">
        <f t="shared" si="1"/>
        <v>20.805</v>
      </c>
    </row>
    <row r="93" spans="2:109" ht="15">
      <c r="CX93" s="38" t="s">
        <v>624</v>
      </c>
      <c r="CY93" s="40" t="s">
        <v>457</v>
      </c>
      <c r="CZ93" s="40">
        <v>5.7</v>
      </c>
      <c r="DA93" s="40">
        <v>3.65</v>
      </c>
      <c r="DB93" s="40">
        <v>1.5</v>
      </c>
      <c r="DC93" s="46" t="s">
        <v>335</v>
      </c>
      <c r="DE93" s="60">
        <f t="shared" si="1"/>
        <v>20.805</v>
      </c>
    </row>
    <row r="94" spans="2:109" ht="15">
      <c r="CX94" s="38" t="s">
        <v>349</v>
      </c>
      <c r="CY94" s="40" t="s">
        <v>134</v>
      </c>
      <c r="CZ94" s="40">
        <v>5.7</v>
      </c>
      <c r="DA94" s="40">
        <v>3.65</v>
      </c>
      <c r="DB94" s="40">
        <v>1.25</v>
      </c>
      <c r="DC94" s="46" t="s">
        <v>335</v>
      </c>
      <c r="DE94" s="60">
        <f t="shared" si="1"/>
        <v>20.805</v>
      </c>
    </row>
    <row r="95" spans="2:109" ht="15">
      <c r="CX95" s="38" t="s">
        <v>347</v>
      </c>
      <c r="CY95" s="40" t="s">
        <v>133</v>
      </c>
      <c r="CZ95" s="40">
        <v>5.7</v>
      </c>
      <c r="DA95" s="40">
        <v>3.65</v>
      </c>
      <c r="DB95" s="40">
        <v>1.25</v>
      </c>
      <c r="DC95" s="46" t="s">
        <v>335</v>
      </c>
      <c r="DE95" s="60">
        <f t="shared" si="1"/>
        <v>20.805</v>
      </c>
    </row>
    <row r="96" spans="2:109" ht="15">
      <c r="CX96" s="38" t="s">
        <v>625</v>
      </c>
      <c r="CY96" s="40" t="s">
        <v>121</v>
      </c>
      <c r="CZ96" s="40">
        <v>5.7</v>
      </c>
      <c r="DA96" s="40">
        <v>3.65</v>
      </c>
      <c r="DB96" s="40">
        <v>1.5</v>
      </c>
      <c r="DC96" s="46" t="s">
        <v>335</v>
      </c>
      <c r="DE96" s="60">
        <f t="shared" si="1"/>
        <v>20.805</v>
      </c>
    </row>
    <row r="97" spans="102:109" ht="15">
      <c r="CX97" s="38" t="s">
        <v>626</v>
      </c>
      <c r="CY97" s="40" t="s">
        <v>459</v>
      </c>
      <c r="CZ97" s="40">
        <v>5.7</v>
      </c>
      <c r="DA97" s="40">
        <v>3.65</v>
      </c>
      <c r="DB97" s="40">
        <v>1.5</v>
      </c>
      <c r="DC97" s="46" t="s">
        <v>335</v>
      </c>
      <c r="DE97" s="60">
        <f t="shared" si="1"/>
        <v>20.805</v>
      </c>
    </row>
    <row r="98" spans="102:109" ht="15">
      <c r="CX98" s="38" t="s">
        <v>314</v>
      </c>
      <c r="CY98" s="40" t="s">
        <v>123</v>
      </c>
      <c r="CZ98" s="40">
        <v>7.87</v>
      </c>
      <c r="DA98" s="40">
        <v>5</v>
      </c>
      <c r="DB98" s="40">
        <v>4.5</v>
      </c>
      <c r="DC98" s="46" t="s">
        <v>335</v>
      </c>
      <c r="DE98" s="60">
        <f t="shared" si="1"/>
        <v>39.35</v>
      </c>
    </row>
    <row r="99" spans="102:109" ht="15">
      <c r="CX99" s="38" t="s">
        <v>627</v>
      </c>
      <c r="CY99" s="40" t="s">
        <v>156</v>
      </c>
      <c r="CZ99" s="40">
        <v>5.7</v>
      </c>
      <c r="DA99" s="40">
        <v>3.65</v>
      </c>
      <c r="DB99" s="40">
        <v>1.5</v>
      </c>
      <c r="DC99" s="46" t="s">
        <v>335</v>
      </c>
      <c r="DE99" s="60">
        <f t="shared" si="1"/>
        <v>20.805</v>
      </c>
    </row>
    <row r="100" spans="102:109" ht="15">
      <c r="CX100" s="38" t="s">
        <v>628</v>
      </c>
      <c r="CY100" s="40" t="s">
        <v>462</v>
      </c>
      <c r="CZ100" s="40">
        <v>5.7</v>
      </c>
      <c r="DA100" s="40">
        <v>3.65</v>
      </c>
      <c r="DB100" s="40">
        <v>1.5</v>
      </c>
      <c r="DC100" s="46" t="s">
        <v>335</v>
      </c>
      <c r="DE100" s="60">
        <f t="shared" si="1"/>
        <v>20.805</v>
      </c>
    </row>
    <row r="101" spans="102:109" ht="15">
      <c r="CX101" s="38" t="s">
        <v>629</v>
      </c>
      <c r="CY101" s="40" t="s">
        <v>454</v>
      </c>
      <c r="CZ101" s="40">
        <v>5.7</v>
      </c>
      <c r="DA101" s="40">
        <v>3.65</v>
      </c>
      <c r="DB101" s="40">
        <v>1.5</v>
      </c>
      <c r="DC101" s="46" t="s">
        <v>335</v>
      </c>
      <c r="DE101" s="60">
        <f t="shared" si="1"/>
        <v>20.805</v>
      </c>
    </row>
    <row r="102" spans="102:109" ht="15">
      <c r="CX102" s="38" t="s">
        <v>341</v>
      </c>
      <c r="CY102" s="40" t="s">
        <v>130</v>
      </c>
      <c r="CZ102" s="40">
        <v>5.7</v>
      </c>
      <c r="DA102" s="40">
        <v>3.65</v>
      </c>
      <c r="DB102" s="40">
        <v>1</v>
      </c>
      <c r="DC102" s="46" t="s">
        <v>335</v>
      </c>
      <c r="DE102" s="60">
        <f t="shared" si="1"/>
        <v>20.805</v>
      </c>
    </row>
    <row r="103" spans="102:109" ht="15">
      <c r="CX103" s="38" t="s">
        <v>630</v>
      </c>
      <c r="CY103" s="40" t="s">
        <v>451</v>
      </c>
      <c r="CZ103" s="40">
        <v>5.7</v>
      </c>
      <c r="DA103" s="40">
        <v>3.65</v>
      </c>
      <c r="DB103" s="40">
        <v>1.5</v>
      </c>
      <c r="DC103" s="46" t="s">
        <v>335</v>
      </c>
      <c r="DE103" s="60">
        <f t="shared" si="1"/>
        <v>20.805</v>
      </c>
    </row>
    <row r="104" spans="102:109" ht="15">
      <c r="CX104" s="38" t="s">
        <v>512</v>
      </c>
      <c r="CY104" s="40" t="s">
        <v>188</v>
      </c>
      <c r="CZ104" s="40">
        <v>5.7</v>
      </c>
      <c r="DA104" s="40">
        <v>3.65</v>
      </c>
      <c r="DB104" s="40">
        <v>2</v>
      </c>
      <c r="DC104" s="46" t="s">
        <v>335</v>
      </c>
      <c r="DE104" s="60">
        <f t="shared" si="1"/>
        <v>20.805</v>
      </c>
    </row>
    <row r="105" spans="102:109" ht="15">
      <c r="CX105" s="38" t="s">
        <v>631</v>
      </c>
      <c r="CY105" s="40" t="s">
        <v>146</v>
      </c>
      <c r="CZ105" s="40">
        <v>5.7</v>
      </c>
      <c r="DA105" s="40">
        <v>3.65</v>
      </c>
      <c r="DB105" s="40">
        <v>3</v>
      </c>
      <c r="DC105" s="46" t="s">
        <v>335</v>
      </c>
      <c r="DE105" s="60">
        <f t="shared" si="1"/>
        <v>20.805</v>
      </c>
    </row>
    <row r="106" spans="102:109" ht="15">
      <c r="CX106" s="38" t="s">
        <v>525</v>
      </c>
      <c r="CY106" s="40" t="s">
        <v>196</v>
      </c>
      <c r="CZ106" s="40">
        <v>5.7</v>
      </c>
      <c r="DA106" s="40">
        <v>3.65</v>
      </c>
      <c r="DB106" s="40">
        <v>2</v>
      </c>
      <c r="DC106" s="46" t="s">
        <v>335</v>
      </c>
      <c r="DE106" s="60">
        <f t="shared" si="1"/>
        <v>20.805</v>
      </c>
    </row>
    <row r="107" spans="102:109" ht="15">
      <c r="CX107" s="38" t="s">
        <v>633</v>
      </c>
      <c r="CY107" s="40" t="s">
        <v>468</v>
      </c>
      <c r="CZ107" s="40">
        <v>5.7</v>
      </c>
      <c r="DA107" s="40">
        <v>3.65</v>
      </c>
      <c r="DB107" s="40">
        <v>0.5</v>
      </c>
      <c r="DC107" s="46" t="s">
        <v>335</v>
      </c>
      <c r="DE107" s="60">
        <f t="shared" si="1"/>
        <v>20.805</v>
      </c>
    </row>
    <row r="108" spans="102:109" ht="15">
      <c r="CX108" s="38" t="s">
        <v>527</v>
      </c>
      <c r="CY108" s="40" t="s">
        <v>198</v>
      </c>
      <c r="CZ108" s="40">
        <v>5.7</v>
      </c>
      <c r="DA108" s="40">
        <v>3.65</v>
      </c>
      <c r="DB108" s="40">
        <v>0.75</v>
      </c>
      <c r="DC108" s="46" t="s">
        <v>335</v>
      </c>
      <c r="DE108" s="60">
        <f t="shared" si="1"/>
        <v>20.805</v>
      </c>
    </row>
    <row r="109" spans="102:109" ht="15">
      <c r="CX109" s="38" t="s">
        <v>634</v>
      </c>
      <c r="CY109" s="40" t="s">
        <v>471</v>
      </c>
      <c r="CZ109" s="40">
        <v>5.7</v>
      </c>
      <c r="DA109" s="40">
        <v>3.65</v>
      </c>
      <c r="DB109" s="40">
        <v>0.5</v>
      </c>
      <c r="DC109" s="46" t="s">
        <v>335</v>
      </c>
      <c r="DE109" s="60">
        <f t="shared" si="1"/>
        <v>20.805</v>
      </c>
    </row>
    <row r="110" spans="102:109" ht="15">
      <c r="CX110" s="38" t="s">
        <v>635</v>
      </c>
      <c r="CY110" s="40" t="s">
        <v>465</v>
      </c>
      <c r="CZ110" s="40">
        <v>5.7</v>
      </c>
      <c r="DA110" s="40">
        <v>3.65</v>
      </c>
      <c r="DB110" s="40">
        <v>0.5</v>
      </c>
      <c r="DC110" s="46" t="s">
        <v>335</v>
      </c>
      <c r="DE110" s="60">
        <f t="shared" si="1"/>
        <v>20.805</v>
      </c>
    </row>
    <row r="111" spans="102:109" ht="15">
      <c r="CX111" s="38" t="s">
        <v>636</v>
      </c>
      <c r="CY111" s="40" t="s">
        <v>474</v>
      </c>
      <c r="CZ111" s="40">
        <v>5.7</v>
      </c>
      <c r="DA111" s="40">
        <v>3.65</v>
      </c>
      <c r="DB111" s="40">
        <v>0.5</v>
      </c>
      <c r="DC111" s="46" t="s">
        <v>335</v>
      </c>
      <c r="DE111" s="60">
        <f t="shared" si="1"/>
        <v>20.805</v>
      </c>
    </row>
    <row r="112" spans="102:109" ht="15">
      <c r="CX112" s="38" t="s">
        <v>642</v>
      </c>
      <c r="CY112" s="40" t="s">
        <v>431</v>
      </c>
      <c r="CZ112" s="40">
        <v>10.5</v>
      </c>
      <c r="DA112" s="40">
        <v>4.5</v>
      </c>
      <c r="DB112" s="40">
        <v>0.5</v>
      </c>
      <c r="DC112" s="46" t="s">
        <v>335</v>
      </c>
      <c r="DE112" s="60">
        <f t="shared" si="1"/>
        <v>47.25</v>
      </c>
    </row>
    <row r="113" spans="102:109" ht="15">
      <c r="CX113" s="38" t="s">
        <v>643</v>
      </c>
      <c r="CY113" s="40" t="s">
        <v>428</v>
      </c>
      <c r="CZ113" s="40">
        <v>8.5</v>
      </c>
      <c r="DA113" s="40">
        <v>4.5</v>
      </c>
      <c r="DB113" s="40">
        <v>0.5</v>
      </c>
      <c r="DC113" s="46" t="s">
        <v>335</v>
      </c>
      <c r="DE113" s="60">
        <f t="shared" si="1"/>
        <v>38.25</v>
      </c>
    </row>
    <row r="114" spans="102:109" ht="15">
      <c r="CX114" s="38" t="s">
        <v>251</v>
      </c>
      <c r="CY114" s="40" t="s">
        <v>250</v>
      </c>
      <c r="CZ114" s="40">
        <v>5.5</v>
      </c>
      <c r="DA114" s="40">
        <v>3.5</v>
      </c>
      <c r="DB114" s="40">
        <v>1</v>
      </c>
      <c r="DC114" s="46" t="s">
        <v>335</v>
      </c>
      <c r="DE114" s="60">
        <f t="shared" si="1"/>
        <v>19.25</v>
      </c>
    </row>
    <row r="115" spans="102:109" ht="15">
      <c r="CX115" s="38" t="s">
        <v>644</v>
      </c>
      <c r="CY115" s="40" t="s">
        <v>422</v>
      </c>
      <c r="CZ115" s="40">
        <v>8.5</v>
      </c>
      <c r="DA115" s="40">
        <v>4.5</v>
      </c>
      <c r="DB115" s="40">
        <v>1</v>
      </c>
      <c r="DC115" s="46" t="s">
        <v>335</v>
      </c>
      <c r="DE115" s="60">
        <f t="shared" si="1"/>
        <v>38.25</v>
      </c>
    </row>
    <row r="116" spans="102:109" ht="15">
      <c r="CX116" s="38" t="s">
        <v>645</v>
      </c>
      <c r="CY116" s="40" t="s">
        <v>195</v>
      </c>
      <c r="CZ116" s="40">
        <v>5.7</v>
      </c>
      <c r="DA116" s="40">
        <v>3.65</v>
      </c>
      <c r="DB116" s="40">
        <v>1</v>
      </c>
      <c r="DC116" s="46" t="s">
        <v>335</v>
      </c>
      <c r="DE116" s="60">
        <f t="shared" si="1"/>
        <v>20.805</v>
      </c>
    </row>
    <row r="117" spans="102:109" ht="15">
      <c r="CX117" s="38" t="s">
        <v>297</v>
      </c>
      <c r="CY117" s="40" t="s">
        <v>296</v>
      </c>
      <c r="CZ117" s="40">
        <v>7.5</v>
      </c>
      <c r="DA117" s="40">
        <v>2</v>
      </c>
      <c r="DB117" s="40">
        <v>5</v>
      </c>
      <c r="DC117" s="46" t="s">
        <v>335</v>
      </c>
      <c r="DE117" s="60">
        <f t="shared" si="1"/>
        <v>15</v>
      </c>
    </row>
    <row r="118" spans="102:109" ht="15">
      <c r="CX118" s="38" t="s">
        <v>357</v>
      </c>
      <c r="CY118" s="40" t="s">
        <v>137</v>
      </c>
      <c r="CZ118" s="40">
        <v>13.75</v>
      </c>
      <c r="DA118" s="40">
        <v>3.625</v>
      </c>
      <c r="DB118" s="40">
        <v>1.5</v>
      </c>
      <c r="DC118" s="46" t="s">
        <v>335</v>
      </c>
      <c r="DE118" s="60">
        <f t="shared" si="1"/>
        <v>49.84375</v>
      </c>
    </row>
    <row r="119" spans="102:109" ht="15">
      <c r="CX119" s="38" t="s">
        <v>206</v>
      </c>
      <c r="CY119" s="40" t="s">
        <v>69</v>
      </c>
      <c r="CZ119" s="40">
        <v>5.7</v>
      </c>
      <c r="DA119" s="40">
        <v>3.65</v>
      </c>
      <c r="DB119" s="40">
        <v>1.25</v>
      </c>
      <c r="DC119" s="46" t="s">
        <v>335</v>
      </c>
      <c r="DE119" s="60">
        <f t="shared" si="1"/>
        <v>20.805</v>
      </c>
    </row>
    <row r="120" spans="102:109" ht="15">
      <c r="CX120" s="38" t="s">
        <v>371</v>
      </c>
      <c r="CY120" s="40" t="s">
        <v>141</v>
      </c>
      <c r="CZ120" s="40">
        <v>5.7</v>
      </c>
      <c r="DA120" s="40">
        <v>3.65</v>
      </c>
      <c r="DB120" s="40">
        <v>3.75</v>
      </c>
      <c r="DC120" s="46" t="s">
        <v>335</v>
      </c>
      <c r="DE120" s="60">
        <f t="shared" si="1"/>
        <v>20.805</v>
      </c>
    </row>
    <row r="121" spans="102:109" ht="15">
      <c r="CX121" s="38" t="s">
        <v>246</v>
      </c>
      <c r="CY121" s="40" t="s">
        <v>245</v>
      </c>
      <c r="CZ121" s="40">
        <v>5</v>
      </c>
      <c r="DA121" s="40">
        <v>3.5</v>
      </c>
      <c r="DB121" s="40">
        <v>1</v>
      </c>
      <c r="DC121" s="46" t="s">
        <v>335</v>
      </c>
      <c r="DE121" s="60">
        <f t="shared" si="1"/>
        <v>17.5</v>
      </c>
    </row>
    <row r="122" spans="102:109" ht="15">
      <c r="CX122" s="38" t="s">
        <v>519</v>
      </c>
      <c r="CY122" s="40" t="s">
        <v>518</v>
      </c>
      <c r="CZ122" s="40">
        <v>8.5</v>
      </c>
      <c r="DA122" s="40">
        <v>8.5</v>
      </c>
      <c r="DB122" s="40">
        <v>4.25</v>
      </c>
      <c r="DC122" s="46" t="s">
        <v>335</v>
      </c>
      <c r="DE122" s="60">
        <f t="shared" si="1"/>
        <v>72.25</v>
      </c>
    </row>
    <row r="123" spans="102:109" ht="15">
      <c r="CX123" s="38" t="s">
        <v>293</v>
      </c>
      <c r="CY123" s="40" t="s">
        <v>292</v>
      </c>
      <c r="CZ123" s="40">
        <v>8</v>
      </c>
      <c r="DA123" s="40">
        <v>2.25</v>
      </c>
      <c r="DB123" s="40">
        <v>5</v>
      </c>
      <c r="DC123" s="46" t="s">
        <v>335</v>
      </c>
      <c r="DE123" s="60">
        <f t="shared" si="1"/>
        <v>18</v>
      </c>
    </row>
    <row r="124" spans="102:109" ht="15">
      <c r="CX124" s="38" t="s">
        <v>417</v>
      </c>
      <c r="CY124" s="40" t="s">
        <v>161</v>
      </c>
      <c r="CZ124" s="40">
        <v>5.7</v>
      </c>
      <c r="DA124" s="40">
        <v>3.65</v>
      </c>
      <c r="DB124" s="40">
        <v>2</v>
      </c>
      <c r="DC124" s="46" t="s">
        <v>335</v>
      </c>
      <c r="DE124" s="60">
        <f t="shared" si="1"/>
        <v>20.805</v>
      </c>
    </row>
    <row r="125" spans="102:109" ht="15">
      <c r="CX125" s="38" t="s">
        <v>271</v>
      </c>
      <c r="CY125" s="49" t="s">
        <v>107</v>
      </c>
      <c r="CZ125" s="40">
        <v>8</v>
      </c>
      <c r="DA125" s="40">
        <v>8</v>
      </c>
      <c r="DB125" s="40">
        <v>3.5</v>
      </c>
      <c r="DC125" s="46" t="s">
        <v>335</v>
      </c>
      <c r="DE125" s="60">
        <f t="shared" si="1"/>
        <v>64</v>
      </c>
    </row>
    <row r="126" spans="102:109" ht="15">
      <c r="CX126" s="38" t="s">
        <v>387</v>
      </c>
      <c r="CY126" s="40" t="s">
        <v>147</v>
      </c>
      <c r="CZ126" s="40">
        <v>4</v>
      </c>
      <c r="DA126" s="40">
        <v>6</v>
      </c>
      <c r="DB126" s="40">
        <v>11</v>
      </c>
      <c r="DC126" s="46" t="s">
        <v>335</v>
      </c>
      <c r="DE126" s="60">
        <f t="shared" si="1"/>
        <v>24</v>
      </c>
    </row>
    <row r="127" spans="102:109" ht="15">
      <c r="CX127" s="38" t="s">
        <v>438</v>
      </c>
      <c r="CY127" s="49" t="s">
        <v>163</v>
      </c>
      <c r="CZ127" s="40">
        <v>8.25</v>
      </c>
      <c r="DA127" s="40">
        <v>5.125</v>
      </c>
      <c r="DB127" s="40">
        <v>5.5</v>
      </c>
      <c r="DC127" s="46" t="s">
        <v>335</v>
      </c>
      <c r="DE127" s="60">
        <f t="shared" si="1"/>
        <v>42.28125</v>
      </c>
    </row>
    <row r="129" spans="107:109" ht="15">
      <c r="DC129" s="62" t="s">
        <v>659</v>
      </c>
      <c r="DE129" s="63">
        <f>SUM(DE2:DE127)</f>
        <v>4655.7049999999963</v>
      </c>
    </row>
    <row r="131" spans="107:109">
      <c r="DC131" s="64" t="s">
        <v>660</v>
      </c>
      <c r="DE131" s="63">
        <f>96*75</f>
        <v>7200</v>
      </c>
    </row>
    <row r="132" spans="107:109">
      <c r="DC132" s="64" t="s">
        <v>661</v>
      </c>
      <c r="DE132" s="63">
        <f>DE131*0.9</f>
        <v>6480</v>
      </c>
    </row>
    <row r="134" spans="107:109">
      <c r="DC134" s="61" t="s">
        <v>670</v>
      </c>
    </row>
    <row r="135" spans="107:109">
      <c r="DC135" s="58" t="s">
        <v>671</v>
      </c>
    </row>
  </sheetData>
  <mergeCells count="2">
    <mergeCell ref="C83:CT87"/>
    <mergeCell ref="C88:CT88"/>
  </mergeCells>
  <conditionalFormatting sqref="CX2:CX4">
    <cfRule type="expression" dxfId="1" priority="1">
      <formula>AND(ROW()-11&gt;#REF!,ROW()-11&lt;=#REF!+#REF!)</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pageSetUpPr fitToPage="1"/>
  </sheetPr>
  <dimension ref="A1:KZ153"/>
  <sheetViews>
    <sheetView showGridLines="0" zoomScale="70" zoomScaleNormal="70" zoomScalePageLayoutView="70" workbookViewId="0">
      <pane ySplit="2" topLeftCell="A3" activePane="bottomLeft" state="frozen"/>
      <selection activeCell="A24" sqref="A24:XFD24"/>
      <selection pane="bottomLeft" activeCell="A24" sqref="A24:XFD24"/>
    </sheetView>
  </sheetViews>
  <sheetFormatPr baseColWidth="10" defaultColWidth="8.83203125" defaultRowHeight="14" x14ac:dyDescent="0"/>
  <cols>
    <col min="1" max="1" width="12" style="19" customWidth="1"/>
    <col min="2" max="2" width="8.83203125" style="20"/>
    <col min="3" max="6" width="12.1640625" style="68" customWidth="1"/>
    <col min="7" max="7" width="12.1640625" style="20" customWidth="1"/>
    <col min="8" max="8" width="16.5" style="20" customWidth="1"/>
    <col min="9" max="9" width="11" style="20" customWidth="1"/>
    <col min="10" max="10" width="12.6640625" style="20" customWidth="1"/>
    <col min="11" max="11" width="38" style="69" customWidth="1"/>
    <col min="12" max="12" width="12.83203125" style="69" customWidth="1"/>
    <col min="13" max="13" width="12.6640625" style="69" customWidth="1"/>
    <col min="14" max="14" width="17" style="70" customWidth="1"/>
    <col min="15" max="15" width="13.1640625" style="70" customWidth="1"/>
    <col min="16" max="16" width="1" style="70" customWidth="1"/>
    <col min="17" max="17" width="9.1640625" style="69" customWidth="1"/>
    <col min="18" max="18" width="9" style="69" customWidth="1"/>
    <col min="19" max="19" width="10.6640625" style="19" customWidth="1"/>
    <col min="20" max="20" width="10.1640625" style="19" customWidth="1"/>
    <col min="21" max="21" width="26.6640625" style="19" customWidth="1"/>
    <col min="22" max="312" width="8.83203125" style="19"/>
    <col min="313" max="16384" width="8.83203125" style="18"/>
  </cols>
  <sheetData>
    <row r="1" spans="1:312">
      <c r="A1" s="254"/>
      <c r="B1" s="255"/>
      <c r="C1" s="258" t="s">
        <v>672</v>
      </c>
      <c r="D1" s="258"/>
      <c r="E1" s="258"/>
      <c r="F1" s="258"/>
      <c r="G1" s="255"/>
      <c r="H1" s="255"/>
      <c r="I1" s="255"/>
      <c r="J1" s="255"/>
      <c r="K1" s="259" t="s">
        <v>673</v>
      </c>
      <c r="L1" s="260">
        <v>70</v>
      </c>
      <c r="M1" s="260">
        <v>42</v>
      </c>
      <c r="N1" s="261">
        <v>67</v>
      </c>
      <c r="O1" s="261">
        <v>149</v>
      </c>
      <c r="P1" s="261"/>
      <c r="Q1" s="260"/>
      <c r="R1" s="260"/>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54"/>
      <c r="HG1" s="254"/>
      <c r="HH1" s="254"/>
      <c r="HI1" s="254"/>
      <c r="HJ1" s="254"/>
      <c r="HK1" s="254"/>
      <c r="HL1" s="254"/>
      <c r="HM1" s="254"/>
      <c r="HN1" s="254"/>
      <c r="HO1" s="254"/>
      <c r="HP1" s="254"/>
      <c r="HQ1" s="254"/>
      <c r="HR1" s="254"/>
      <c r="HS1" s="254"/>
      <c r="HT1" s="254"/>
      <c r="HU1" s="254"/>
      <c r="HV1" s="254"/>
      <c r="HW1" s="254"/>
      <c r="HX1" s="254"/>
      <c r="HY1" s="254"/>
      <c r="HZ1" s="254"/>
      <c r="IA1" s="254"/>
      <c r="IB1" s="254"/>
      <c r="IC1" s="254"/>
      <c r="ID1" s="254"/>
      <c r="IE1" s="254"/>
      <c r="IF1" s="254"/>
      <c r="IG1" s="254"/>
      <c r="IH1" s="254"/>
      <c r="II1" s="254"/>
      <c r="IJ1" s="254"/>
      <c r="IK1" s="254"/>
      <c r="IL1" s="254"/>
      <c r="IM1" s="254"/>
      <c r="IN1" s="254"/>
      <c r="IO1" s="254"/>
      <c r="IP1" s="254"/>
      <c r="IQ1" s="254"/>
      <c r="IR1" s="254"/>
      <c r="IS1" s="254"/>
      <c r="IT1" s="254"/>
      <c r="IU1" s="254"/>
      <c r="IV1" s="254"/>
      <c r="IW1" s="254"/>
      <c r="IX1" s="254"/>
      <c r="IY1" s="254"/>
      <c r="IZ1" s="254"/>
      <c r="JA1" s="254"/>
      <c r="JB1" s="254"/>
      <c r="JC1" s="254"/>
      <c r="JD1" s="254"/>
      <c r="JE1" s="254"/>
      <c r="JF1" s="254"/>
      <c r="JG1" s="254"/>
      <c r="JH1" s="254"/>
      <c r="JI1" s="254"/>
      <c r="JJ1" s="254"/>
      <c r="JK1" s="254"/>
      <c r="JL1" s="254"/>
      <c r="JM1" s="254"/>
      <c r="JN1" s="254"/>
      <c r="JO1" s="254"/>
      <c r="JP1" s="254"/>
      <c r="JQ1" s="254"/>
      <c r="JR1" s="254"/>
      <c r="JS1" s="254"/>
      <c r="JT1" s="254"/>
      <c r="JU1" s="254"/>
      <c r="JV1" s="254"/>
      <c r="JW1" s="254"/>
      <c r="JX1" s="254"/>
      <c r="JY1" s="254"/>
      <c r="JZ1" s="254"/>
      <c r="KA1" s="254"/>
      <c r="KB1" s="254"/>
      <c r="KC1" s="254"/>
      <c r="KD1" s="254"/>
      <c r="KE1" s="254"/>
      <c r="KF1" s="254"/>
      <c r="KG1" s="254"/>
      <c r="KH1" s="254"/>
      <c r="KI1" s="254"/>
      <c r="KJ1" s="254"/>
      <c r="KK1" s="254"/>
      <c r="KL1" s="254"/>
      <c r="KM1" s="254"/>
      <c r="KN1" s="254"/>
      <c r="KO1" s="254"/>
      <c r="KP1" s="254"/>
      <c r="KQ1" s="254"/>
      <c r="KR1" s="254"/>
      <c r="KS1" s="254"/>
      <c r="KT1" s="254"/>
      <c r="KU1" s="254"/>
      <c r="KV1" s="254"/>
      <c r="KW1" s="254"/>
      <c r="KX1" s="254"/>
      <c r="KY1" s="254"/>
      <c r="KZ1" s="254"/>
    </row>
    <row r="2" spans="1:312" s="21" customFormat="1" ht="88.5" customHeight="1">
      <c r="A2" s="71" t="s">
        <v>674</v>
      </c>
      <c r="B2" s="72" t="s">
        <v>675</v>
      </c>
      <c r="C2" s="73" t="s">
        <v>676</v>
      </c>
      <c r="D2" s="73" t="s">
        <v>677</v>
      </c>
      <c r="E2" s="73" t="s">
        <v>678</v>
      </c>
      <c r="F2" s="73" t="s">
        <v>679</v>
      </c>
      <c r="G2" s="71" t="s">
        <v>680</v>
      </c>
      <c r="H2" s="71" t="s">
        <v>681</v>
      </c>
      <c r="I2" s="71" t="s">
        <v>682</v>
      </c>
      <c r="J2" s="71" t="s">
        <v>203</v>
      </c>
      <c r="K2" s="71" t="s">
        <v>202</v>
      </c>
      <c r="L2" s="74" t="s">
        <v>66</v>
      </c>
      <c r="M2" s="74" t="s">
        <v>683</v>
      </c>
      <c r="N2" s="71" t="s">
        <v>68</v>
      </c>
      <c r="O2" s="71" t="s">
        <v>562</v>
      </c>
      <c r="P2" s="71"/>
      <c r="Q2" s="71" t="s">
        <v>684</v>
      </c>
      <c r="R2" s="71" t="s">
        <v>685</v>
      </c>
      <c r="S2" s="22" t="s">
        <v>686</v>
      </c>
      <c r="T2" s="22" t="s">
        <v>687</v>
      </c>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row>
    <row r="3" spans="1:312" s="85" customFormat="1" ht="50" customHeight="1">
      <c r="A3" s="75" t="s">
        <v>535</v>
      </c>
      <c r="B3" s="76">
        <v>795</v>
      </c>
      <c r="C3" s="77"/>
      <c r="D3" s="77"/>
      <c r="E3" s="75">
        <v>1715</v>
      </c>
      <c r="F3" s="77" t="e">
        <f t="shared" ref="F3:F66" si="0">C3/D3</f>
        <v>#DIV/0!</v>
      </c>
      <c r="G3" s="78" t="s">
        <v>189</v>
      </c>
      <c r="H3" s="78"/>
      <c r="I3" s="76"/>
      <c r="J3" s="76" t="s">
        <v>688</v>
      </c>
      <c r="K3" s="79" t="s">
        <v>536</v>
      </c>
      <c r="L3" s="80"/>
      <c r="M3" s="80"/>
      <c r="N3" s="81" t="s">
        <v>335</v>
      </c>
      <c r="O3" s="81" t="s">
        <v>335</v>
      </c>
      <c r="P3" s="82"/>
      <c r="Q3" s="83" t="s">
        <v>689</v>
      </c>
      <c r="R3" s="83"/>
      <c r="S3" s="75">
        <v>1715</v>
      </c>
      <c r="T3" s="75"/>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c r="GX3" s="262"/>
      <c r="GY3" s="262"/>
      <c r="GZ3" s="262"/>
      <c r="HA3" s="262"/>
      <c r="HB3" s="262"/>
      <c r="HC3" s="262"/>
      <c r="HD3" s="262"/>
      <c r="HE3" s="262"/>
      <c r="HF3" s="262"/>
      <c r="HG3" s="262"/>
      <c r="HH3" s="262"/>
      <c r="HI3" s="262"/>
      <c r="HJ3" s="262"/>
      <c r="HK3" s="262"/>
      <c r="HL3" s="262"/>
      <c r="HM3" s="262"/>
      <c r="HN3" s="262"/>
      <c r="HO3" s="262"/>
      <c r="HP3" s="262"/>
      <c r="HQ3" s="262"/>
      <c r="HR3" s="262"/>
      <c r="HS3" s="262"/>
      <c r="HT3" s="262"/>
      <c r="HU3" s="262"/>
      <c r="HV3" s="262"/>
      <c r="HW3" s="262"/>
      <c r="HX3" s="262"/>
      <c r="HY3" s="262"/>
      <c r="HZ3" s="262"/>
      <c r="IA3" s="262"/>
      <c r="IB3" s="262"/>
      <c r="IC3" s="262"/>
      <c r="ID3" s="262"/>
      <c r="IE3" s="262"/>
      <c r="IF3" s="262"/>
      <c r="IG3" s="262"/>
      <c r="IH3" s="262"/>
      <c r="II3" s="262"/>
      <c r="IJ3" s="262"/>
      <c r="IK3" s="262"/>
      <c r="IL3" s="262"/>
      <c r="IM3" s="262"/>
      <c r="IN3" s="262"/>
      <c r="IO3" s="262"/>
      <c r="IP3" s="262"/>
      <c r="IQ3" s="262"/>
      <c r="IR3" s="262"/>
      <c r="IS3" s="262"/>
      <c r="IT3" s="262"/>
      <c r="IU3" s="262"/>
      <c r="IV3" s="262"/>
      <c r="IW3" s="262"/>
      <c r="IX3" s="262"/>
      <c r="IY3" s="262"/>
      <c r="IZ3" s="262"/>
      <c r="JA3" s="262"/>
      <c r="JB3" s="262"/>
      <c r="JC3" s="262"/>
      <c r="JD3" s="262"/>
      <c r="JE3" s="262"/>
      <c r="JF3" s="262"/>
      <c r="JG3" s="262"/>
      <c r="JH3" s="262"/>
      <c r="JI3" s="262"/>
      <c r="JJ3" s="262"/>
      <c r="JK3" s="262"/>
      <c r="JL3" s="262"/>
      <c r="JM3" s="262"/>
      <c r="JN3" s="262"/>
      <c r="JO3" s="262"/>
      <c r="JP3" s="262"/>
      <c r="JQ3" s="262"/>
      <c r="JR3" s="262"/>
      <c r="JS3" s="262"/>
      <c r="JT3" s="262"/>
      <c r="JU3" s="262"/>
      <c r="JV3" s="262"/>
      <c r="JW3" s="262"/>
      <c r="JX3" s="262"/>
      <c r="JY3" s="262"/>
      <c r="JZ3" s="262"/>
      <c r="KA3" s="262"/>
      <c r="KB3" s="262"/>
      <c r="KC3" s="262"/>
      <c r="KD3" s="262"/>
      <c r="KE3" s="262"/>
      <c r="KF3" s="262"/>
      <c r="KG3" s="262"/>
      <c r="KH3" s="262"/>
      <c r="KI3" s="262"/>
      <c r="KJ3" s="262"/>
      <c r="KK3" s="262"/>
      <c r="KL3" s="262"/>
      <c r="KM3" s="262"/>
      <c r="KN3" s="262"/>
      <c r="KO3" s="262"/>
      <c r="KP3" s="262"/>
      <c r="KQ3" s="262"/>
      <c r="KR3" s="262"/>
      <c r="KS3" s="262"/>
      <c r="KT3" s="262"/>
      <c r="KU3" s="262"/>
      <c r="KV3" s="262"/>
      <c r="KW3" s="262"/>
      <c r="KX3" s="262"/>
      <c r="KY3" s="262"/>
      <c r="KZ3" s="262"/>
    </row>
    <row r="4" spans="1:312" s="85" customFormat="1" ht="50" customHeight="1">
      <c r="A4" s="75" t="s">
        <v>537</v>
      </c>
      <c r="B4" s="76">
        <v>799</v>
      </c>
      <c r="C4" s="77"/>
      <c r="D4" s="77"/>
      <c r="E4" s="75">
        <v>1715</v>
      </c>
      <c r="F4" s="77" t="e">
        <f t="shared" si="0"/>
        <v>#DIV/0!</v>
      </c>
      <c r="G4" s="78" t="s">
        <v>189</v>
      </c>
      <c r="H4" s="78"/>
      <c r="I4" s="76"/>
      <c r="J4" s="76" t="s">
        <v>688</v>
      </c>
      <c r="K4" s="79" t="s">
        <v>538</v>
      </c>
      <c r="L4" s="80"/>
      <c r="M4" s="80"/>
      <c r="N4" s="81" t="s">
        <v>335</v>
      </c>
      <c r="O4" s="81" t="s">
        <v>335</v>
      </c>
      <c r="P4" s="82"/>
      <c r="Q4" s="83" t="s">
        <v>689</v>
      </c>
      <c r="R4" s="83"/>
      <c r="S4" s="75">
        <v>1715</v>
      </c>
      <c r="T4" s="75"/>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262"/>
      <c r="EQ4" s="262"/>
      <c r="ER4" s="262"/>
      <c r="ES4" s="262"/>
      <c r="ET4" s="262"/>
      <c r="EU4" s="262"/>
      <c r="EV4" s="262"/>
      <c r="EW4" s="262"/>
      <c r="EX4" s="262"/>
      <c r="EY4" s="262"/>
      <c r="EZ4" s="262"/>
      <c r="FA4" s="262"/>
      <c r="FB4" s="262"/>
      <c r="FC4" s="262"/>
      <c r="FD4" s="262"/>
      <c r="FE4" s="262"/>
      <c r="FF4" s="262"/>
      <c r="FG4" s="262"/>
      <c r="FH4" s="262"/>
      <c r="FI4" s="262"/>
      <c r="FJ4" s="262"/>
      <c r="FK4" s="262"/>
      <c r="FL4" s="262"/>
      <c r="FM4" s="262"/>
      <c r="FN4" s="262"/>
      <c r="FO4" s="262"/>
      <c r="FP4" s="262"/>
      <c r="FQ4" s="262"/>
      <c r="FR4" s="262"/>
      <c r="FS4" s="262"/>
      <c r="FT4" s="262"/>
      <c r="FU4" s="262"/>
      <c r="FV4" s="262"/>
      <c r="FW4" s="262"/>
      <c r="FX4" s="262"/>
      <c r="FY4" s="262"/>
      <c r="FZ4" s="262"/>
      <c r="GA4" s="262"/>
      <c r="GB4" s="262"/>
      <c r="GC4" s="262"/>
      <c r="GD4" s="262"/>
      <c r="GE4" s="262"/>
      <c r="GF4" s="262"/>
      <c r="GG4" s="262"/>
      <c r="GH4" s="262"/>
      <c r="GI4" s="262"/>
      <c r="GJ4" s="262"/>
      <c r="GK4" s="262"/>
      <c r="GL4" s="262"/>
      <c r="GM4" s="262"/>
      <c r="GN4" s="262"/>
      <c r="GO4" s="262"/>
      <c r="GP4" s="262"/>
      <c r="GQ4" s="262"/>
      <c r="GR4" s="262"/>
      <c r="GS4" s="262"/>
      <c r="GT4" s="262"/>
      <c r="GU4" s="262"/>
      <c r="GV4" s="262"/>
      <c r="GW4" s="262"/>
      <c r="GX4" s="262"/>
      <c r="GY4" s="262"/>
      <c r="GZ4" s="262"/>
      <c r="HA4" s="262"/>
      <c r="HB4" s="262"/>
      <c r="HC4" s="262"/>
      <c r="HD4" s="262"/>
      <c r="HE4" s="262"/>
      <c r="HF4" s="262"/>
      <c r="HG4" s="262"/>
      <c r="HH4" s="262"/>
      <c r="HI4" s="262"/>
      <c r="HJ4" s="262"/>
      <c r="HK4" s="262"/>
      <c r="HL4" s="262"/>
      <c r="HM4" s="262"/>
      <c r="HN4" s="262"/>
      <c r="HO4" s="262"/>
      <c r="HP4" s="262"/>
      <c r="HQ4" s="262"/>
      <c r="HR4" s="262"/>
      <c r="HS4" s="262"/>
      <c r="HT4" s="262"/>
      <c r="HU4" s="262"/>
      <c r="HV4" s="262"/>
      <c r="HW4" s="262"/>
      <c r="HX4" s="262"/>
      <c r="HY4" s="262"/>
      <c r="HZ4" s="262"/>
      <c r="IA4" s="262"/>
      <c r="IB4" s="262"/>
      <c r="IC4" s="262"/>
      <c r="ID4" s="262"/>
      <c r="IE4" s="262"/>
      <c r="IF4" s="262"/>
      <c r="IG4" s="262"/>
      <c r="IH4" s="262"/>
      <c r="II4" s="262"/>
      <c r="IJ4" s="262"/>
      <c r="IK4" s="262"/>
      <c r="IL4" s="262"/>
      <c r="IM4" s="262"/>
      <c r="IN4" s="262"/>
      <c r="IO4" s="262"/>
      <c r="IP4" s="262"/>
      <c r="IQ4" s="262"/>
      <c r="IR4" s="262"/>
      <c r="IS4" s="262"/>
      <c r="IT4" s="262"/>
      <c r="IU4" s="262"/>
      <c r="IV4" s="262"/>
      <c r="IW4" s="262"/>
      <c r="IX4" s="262"/>
      <c r="IY4" s="262"/>
      <c r="IZ4" s="262"/>
      <c r="JA4" s="262"/>
      <c r="JB4" s="262"/>
      <c r="JC4" s="262"/>
      <c r="JD4" s="262"/>
      <c r="JE4" s="262"/>
      <c r="JF4" s="262"/>
      <c r="JG4" s="262"/>
      <c r="JH4" s="262"/>
      <c r="JI4" s="262"/>
      <c r="JJ4" s="262"/>
      <c r="JK4" s="262"/>
      <c r="JL4" s="262"/>
      <c r="JM4" s="262"/>
      <c r="JN4" s="262"/>
      <c r="JO4" s="262"/>
      <c r="JP4" s="262"/>
      <c r="JQ4" s="262"/>
      <c r="JR4" s="262"/>
      <c r="JS4" s="262"/>
      <c r="JT4" s="262"/>
      <c r="JU4" s="262"/>
      <c r="JV4" s="262"/>
      <c r="JW4" s="262"/>
      <c r="JX4" s="262"/>
      <c r="JY4" s="262"/>
      <c r="JZ4" s="262"/>
      <c r="KA4" s="262"/>
      <c r="KB4" s="262"/>
      <c r="KC4" s="262"/>
      <c r="KD4" s="262"/>
      <c r="KE4" s="262"/>
      <c r="KF4" s="262"/>
      <c r="KG4" s="262"/>
      <c r="KH4" s="262"/>
      <c r="KI4" s="262"/>
      <c r="KJ4" s="262"/>
      <c r="KK4" s="262"/>
      <c r="KL4" s="262"/>
      <c r="KM4" s="262"/>
      <c r="KN4" s="262"/>
      <c r="KO4" s="262"/>
      <c r="KP4" s="262"/>
      <c r="KQ4" s="262"/>
      <c r="KR4" s="262"/>
      <c r="KS4" s="262"/>
      <c r="KT4" s="262"/>
      <c r="KU4" s="262"/>
      <c r="KV4" s="262"/>
      <c r="KW4" s="262"/>
      <c r="KX4" s="262"/>
      <c r="KY4" s="262"/>
      <c r="KZ4" s="262"/>
    </row>
    <row r="5" spans="1:312" s="85" customFormat="1" ht="50" customHeight="1">
      <c r="A5" s="75" t="s">
        <v>539</v>
      </c>
      <c r="B5" s="76">
        <v>807</v>
      </c>
      <c r="C5" s="77"/>
      <c r="D5" s="77"/>
      <c r="E5" s="75">
        <v>1275</v>
      </c>
      <c r="F5" s="77" t="e">
        <f t="shared" si="0"/>
        <v>#DIV/0!</v>
      </c>
      <c r="G5" s="78" t="s">
        <v>189</v>
      </c>
      <c r="H5" s="78"/>
      <c r="I5" s="76"/>
      <c r="J5" s="76" t="s">
        <v>688</v>
      </c>
      <c r="K5" s="79" t="s">
        <v>540</v>
      </c>
      <c r="L5" s="80"/>
      <c r="M5" s="80"/>
      <c r="N5" s="81" t="s">
        <v>335</v>
      </c>
      <c r="O5" s="81" t="s">
        <v>335</v>
      </c>
      <c r="P5" s="82"/>
      <c r="Q5" s="83" t="s">
        <v>689</v>
      </c>
      <c r="R5" s="83"/>
      <c r="S5" s="75">
        <v>1275</v>
      </c>
      <c r="T5" s="75"/>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c r="CA5" s="262"/>
      <c r="CB5" s="262"/>
      <c r="CC5" s="262"/>
      <c r="CD5" s="262"/>
      <c r="CE5" s="262"/>
      <c r="CF5" s="262"/>
      <c r="CG5" s="262"/>
      <c r="CH5" s="262"/>
      <c r="CI5" s="262"/>
      <c r="CJ5" s="262"/>
      <c r="CK5" s="262"/>
      <c r="CL5" s="262"/>
      <c r="CM5" s="262"/>
      <c r="CN5" s="262"/>
      <c r="CO5" s="262"/>
      <c r="CP5" s="262"/>
      <c r="CQ5" s="262"/>
      <c r="CR5" s="262"/>
      <c r="CS5" s="262"/>
      <c r="CT5" s="262"/>
      <c r="CU5" s="262"/>
      <c r="CV5" s="262"/>
      <c r="CW5" s="262"/>
      <c r="CX5" s="262"/>
      <c r="CY5" s="262"/>
      <c r="CZ5" s="262"/>
      <c r="DA5" s="262"/>
      <c r="DB5" s="262"/>
      <c r="DC5" s="262"/>
      <c r="DD5" s="262"/>
      <c r="DE5" s="262"/>
      <c r="DF5" s="262"/>
      <c r="DG5" s="262"/>
      <c r="DH5" s="262"/>
      <c r="DI5" s="262"/>
      <c r="DJ5" s="262"/>
      <c r="DK5" s="262"/>
      <c r="DL5" s="262"/>
      <c r="DM5" s="262"/>
      <c r="DN5" s="262"/>
      <c r="DO5" s="262"/>
      <c r="DP5" s="262"/>
      <c r="DQ5" s="262"/>
      <c r="DR5" s="262"/>
      <c r="DS5" s="262"/>
      <c r="DT5" s="262"/>
      <c r="DU5" s="262"/>
      <c r="DV5" s="262"/>
      <c r="DW5" s="262"/>
      <c r="DX5" s="262"/>
      <c r="DY5" s="262"/>
      <c r="DZ5" s="262"/>
      <c r="EA5" s="262"/>
      <c r="EB5" s="262"/>
      <c r="EC5" s="262"/>
      <c r="ED5" s="262"/>
      <c r="EE5" s="262"/>
      <c r="EF5" s="262"/>
      <c r="EG5" s="262"/>
      <c r="EH5" s="262"/>
      <c r="EI5" s="262"/>
      <c r="EJ5" s="262"/>
      <c r="EK5" s="262"/>
      <c r="EL5" s="262"/>
      <c r="EM5" s="262"/>
      <c r="EN5" s="262"/>
      <c r="EO5" s="262"/>
      <c r="EP5" s="262"/>
      <c r="EQ5" s="262"/>
      <c r="ER5" s="262"/>
      <c r="ES5" s="262"/>
      <c r="ET5" s="262"/>
      <c r="EU5" s="262"/>
      <c r="EV5" s="262"/>
      <c r="EW5" s="262"/>
      <c r="EX5" s="262"/>
      <c r="EY5" s="262"/>
      <c r="EZ5" s="262"/>
      <c r="FA5" s="262"/>
      <c r="FB5" s="262"/>
      <c r="FC5" s="262"/>
      <c r="FD5" s="262"/>
      <c r="FE5" s="262"/>
      <c r="FF5" s="262"/>
      <c r="FG5" s="262"/>
      <c r="FH5" s="262"/>
      <c r="FI5" s="262"/>
      <c r="FJ5" s="262"/>
      <c r="FK5" s="262"/>
      <c r="FL5" s="262"/>
      <c r="FM5" s="262"/>
      <c r="FN5" s="262"/>
      <c r="FO5" s="262"/>
      <c r="FP5" s="262"/>
      <c r="FQ5" s="262"/>
      <c r="FR5" s="262"/>
      <c r="FS5" s="262"/>
      <c r="FT5" s="262"/>
      <c r="FU5" s="262"/>
      <c r="FV5" s="262"/>
      <c r="FW5" s="262"/>
      <c r="FX5" s="262"/>
      <c r="FY5" s="262"/>
      <c r="FZ5" s="262"/>
      <c r="GA5" s="262"/>
      <c r="GB5" s="262"/>
      <c r="GC5" s="262"/>
      <c r="GD5" s="262"/>
      <c r="GE5" s="262"/>
      <c r="GF5" s="262"/>
      <c r="GG5" s="262"/>
      <c r="GH5" s="262"/>
      <c r="GI5" s="262"/>
      <c r="GJ5" s="262"/>
      <c r="GK5" s="262"/>
      <c r="GL5" s="262"/>
      <c r="GM5" s="262"/>
      <c r="GN5" s="262"/>
      <c r="GO5" s="262"/>
      <c r="GP5" s="262"/>
      <c r="GQ5" s="262"/>
      <c r="GR5" s="262"/>
      <c r="GS5" s="262"/>
      <c r="GT5" s="262"/>
      <c r="GU5" s="262"/>
      <c r="GV5" s="262"/>
      <c r="GW5" s="262"/>
      <c r="GX5" s="262"/>
      <c r="GY5" s="262"/>
      <c r="GZ5" s="262"/>
      <c r="HA5" s="262"/>
      <c r="HB5" s="262"/>
      <c r="HC5" s="262"/>
      <c r="HD5" s="262"/>
      <c r="HE5" s="262"/>
      <c r="HF5" s="262"/>
      <c r="HG5" s="262"/>
      <c r="HH5" s="262"/>
      <c r="HI5" s="262"/>
      <c r="HJ5" s="262"/>
      <c r="HK5" s="262"/>
      <c r="HL5" s="262"/>
      <c r="HM5" s="262"/>
      <c r="HN5" s="262"/>
      <c r="HO5" s="262"/>
      <c r="HP5" s="262"/>
      <c r="HQ5" s="262"/>
      <c r="HR5" s="262"/>
      <c r="HS5" s="262"/>
      <c r="HT5" s="262"/>
      <c r="HU5" s="262"/>
      <c r="HV5" s="262"/>
      <c r="HW5" s="262"/>
      <c r="HX5" s="262"/>
      <c r="HY5" s="262"/>
      <c r="HZ5" s="262"/>
      <c r="IA5" s="262"/>
      <c r="IB5" s="262"/>
      <c r="IC5" s="262"/>
      <c r="ID5" s="262"/>
      <c r="IE5" s="262"/>
      <c r="IF5" s="262"/>
      <c r="IG5" s="262"/>
      <c r="IH5" s="262"/>
      <c r="II5" s="262"/>
      <c r="IJ5" s="262"/>
      <c r="IK5" s="262"/>
      <c r="IL5" s="262"/>
      <c r="IM5" s="262"/>
      <c r="IN5" s="262"/>
      <c r="IO5" s="262"/>
      <c r="IP5" s="262"/>
      <c r="IQ5" s="262"/>
      <c r="IR5" s="262"/>
      <c r="IS5" s="262"/>
      <c r="IT5" s="262"/>
      <c r="IU5" s="262"/>
      <c r="IV5" s="262"/>
      <c r="IW5" s="262"/>
      <c r="IX5" s="262"/>
      <c r="IY5" s="262"/>
      <c r="IZ5" s="262"/>
      <c r="JA5" s="262"/>
      <c r="JB5" s="262"/>
      <c r="JC5" s="262"/>
      <c r="JD5" s="262"/>
      <c r="JE5" s="262"/>
      <c r="JF5" s="262"/>
      <c r="JG5" s="262"/>
      <c r="JH5" s="262"/>
      <c r="JI5" s="262"/>
      <c r="JJ5" s="262"/>
      <c r="JK5" s="262"/>
      <c r="JL5" s="262"/>
      <c r="JM5" s="262"/>
      <c r="JN5" s="262"/>
      <c r="JO5" s="262"/>
      <c r="JP5" s="262"/>
      <c r="JQ5" s="262"/>
      <c r="JR5" s="262"/>
      <c r="JS5" s="262"/>
      <c r="JT5" s="262"/>
      <c r="JU5" s="262"/>
      <c r="JV5" s="262"/>
      <c r="JW5" s="262"/>
      <c r="JX5" s="262"/>
      <c r="JY5" s="262"/>
      <c r="JZ5" s="262"/>
      <c r="KA5" s="262"/>
      <c r="KB5" s="262"/>
      <c r="KC5" s="262"/>
      <c r="KD5" s="262"/>
      <c r="KE5" s="262"/>
      <c r="KF5" s="262"/>
      <c r="KG5" s="262"/>
      <c r="KH5" s="262"/>
      <c r="KI5" s="262"/>
      <c r="KJ5" s="262"/>
      <c r="KK5" s="262"/>
      <c r="KL5" s="262"/>
      <c r="KM5" s="262"/>
      <c r="KN5" s="262"/>
      <c r="KO5" s="262"/>
      <c r="KP5" s="262"/>
      <c r="KQ5" s="262"/>
      <c r="KR5" s="262"/>
      <c r="KS5" s="262"/>
      <c r="KT5" s="262"/>
      <c r="KU5" s="262"/>
      <c r="KV5" s="262"/>
      <c r="KW5" s="262"/>
      <c r="KX5" s="262"/>
      <c r="KY5" s="262"/>
      <c r="KZ5" s="262"/>
    </row>
    <row r="6" spans="1:312" s="85" customFormat="1" ht="50" customHeight="1">
      <c r="A6" s="75" t="s">
        <v>541</v>
      </c>
      <c r="B6" s="76">
        <v>152687</v>
      </c>
      <c r="C6" s="77"/>
      <c r="D6" s="77"/>
      <c r="E6" s="75"/>
      <c r="F6" s="77" t="e">
        <f t="shared" si="0"/>
        <v>#DIV/0!</v>
      </c>
      <c r="G6" s="78" t="s">
        <v>189</v>
      </c>
      <c r="H6" s="78"/>
      <c r="I6" s="76"/>
      <c r="J6" s="76" t="s">
        <v>688</v>
      </c>
      <c r="K6" s="79" t="s">
        <v>542</v>
      </c>
      <c r="L6" s="80"/>
      <c r="M6" s="80"/>
      <c r="N6" s="81" t="s">
        <v>335</v>
      </c>
      <c r="O6" s="81" t="s">
        <v>335</v>
      </c>
      <c r="P6" s="82"/>
      <c r="Q6" s="83" t="s">
        <v>689</v>
      </c>
      <c r="R6" s="83"/>
      <c r="S6" s="75"/>
      <c r="T6" s="75"/>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c r="DS6" s="262"/>
      <c r="DT6" s="262"/>
      <c r="DU6" s="262"/>
      <c r="DV6" s="262"/>
      <c r="DW6" s="262"/>
      <c r="DX6" s="262"/>
      <c r="DY6" s="262"/>
      <c r="DZ6" s="262"/>
      <c r="EA6" s="262"/>
      <c r="EB6" s="262"/>
      <c r="EC6" s="262"/>
      <c r="ED6" s="262"/>
      <c r="EE6" s="262"/>
      <c r="EF6" s="262"/>
      <c r="EG6" s="262"/>
      <c r="EH6" s="262"/>
      <c r="EI6" s="262"/>
      <c r="EJ6" s="262"/>
      <c r="EK6" s="262"/>
      <c r="EL6" s="262"/>
      <c r="EM6" s="262"/>
      <c r="EN6" s="262"/>
      <c r="EO6" s="262"/>
      <c r="EP6" s="262"/>
      <c r="EQ6" s="262"/>
      <c r="ER6" s="262"/>
      <c r="ES6" s="262"/>
      <c r="ET6" s="262"/>
      <c r="EU6" s="262"/>
      <c r="EV6" s="262"/>
      <c r="EW6" s="262"/>
      <c r="EX6" s="262"/>
      <c r="EY6" s="262"/>
      <c r="EZ6" s="262"/>
      <c r="FA6" s="262"/>
      <c r="FB6" s="262"/>
      <c r="FC6" s="262"/>
      <c r="FD6" s="262"/>
      <c r="FE6" s="262"/>
      <c r="FF6" s="262"/>
      <c r="FG6" s="262"/>
      <c r="FH6" s="262"/>
      <c r="FI6" s="262"/>
      <c r="FJ6" s="262"/>
      <c r="FK6" s="262"/>
      <c r="FL6" s="262"/>
      <c r="FM6" s="262"/>
      <c r="FN6" s="262"/>
      <c r="FO6" s="262"/>
      <c r="FP6" s="262"/>
      <c r="FQ6" s="262"/>
      <c r="FR6" s="262"/>
      <c r="FS6" s="262"/>
      <c r="FT6" s="262"/>
      <c r="FU6" s="262"/>
      <c r="FV6" s="262"/>
      <c r="FW6" s="262"/>
      <c r="FX6" s="262"/>
      <c r="FY6" s="262"/>
      <c r="FZ6" s="262"/>
      <c r="GA6" s="262"/>
      <c r="GB6" s="262"/>
      <c r="GC6" s="262"/>
      <c r="GD6" s="262"/>
      <c r="GE6" s="262"/>
      <c r="GF6" s="262"/>
      <c r="GG6" s="262"/>
      <c r="GH6" s="262"/>
      <c r="GI6" s="262"/>
      <c r="GJ6" s="262"/>
      <c r="GK6" s="262"/>
      <c r="GL6" s="262"/>
      <c r="GM6" s="262"/>
      <c r="GN6" s="262"/>
      <c r="GO6" s="262"/>
      <c r="GP6" s="262"/>
      <c r="GQ6" s="262"/>
      <c r="GR6" s="262"/>
      <c r="GS6" s="262"/>
      <c r="GT6" s="262"/>
      <c r="GU6" s="262"/>
      <c r="GV6" s="262"/>
      <c r="GW6" s="262"/>
      <c r="GX6" s="262"/>
      <c r="GY6" s="262"/>
      <c r="GZ6" s="262"/>
      <c r="HA6" s="262"/>
      <c r="HB6" s="262"/>
      <c r="HC6" s="262"/>
      <c r="HD6" s="262"/>
      <c r="HE6" s="262"/>
      <c r="HF6" s="262"/>
      <c r="HG6" s="262"/>
      <c r="HH6" s="262"/>
      <c r="HI6" s="262"/>
      <c r="HJ6" s="262"/>
      <c r="HK6" s="262"/>
      <c r="HL6" s="262"/>
      <c r="HM6" s="262"/>
      <c r="HN6" s="262"/>
      <c r="HO6" s="262"/>
      <c r="HP6" s="262"/>
      <c r="HQ6" s="262"/>
      <c r="HR6" s="262"/>
      <c r="HS6" s="262"/>
      <c r="HT6" s="262"/>
      <c r="HU6" s="262"/>
      <c r="HV6" s="262"/>
      <c r="HW6" s="262"/>
      <c r="HX6" s="262"/>
      <c r="HY6" s="262"/>
      <c r="HZ6" s="262"/>
      <c r="IA6" s="262"/>
      <c r="IB6" s="262"/>
      <c r="IC6" s="262"/>
      <c r="ID6" s="262"/>
      <c r="IE6" s="262"/>
      <c r="IF6" s="262"/>
      <c r="IG6" s="262"/>
      <c r="IH6" s="262"/>
      <c r="II6" s="262"/>
      <c r="IJ6" s="262"/>
      <c r="IK6" s="262"/>
      <c r="IL6" s="262"/>
      <c r="IM6" s="262"/>
      <c r="IN6" s="262"/>
      <c r="IO6" s="262"/>
      <c r="IP6" s="262"/>
      <c r="IQ6" s="262"/>
      <c r="IR6" s="262"/>
      <c r="IS6" s="262"/>
      <c r="IT6" s="262"/>
      <c r="IU6" s="262"/>
      <c r="IV6" s="262"/>
      <c r="IW6" s="262"/>
      <c r="IX6" s="262"/>
      <c r="IY6" s="262"/>
      <c r="IZ6" s="262"/>
      <c r="JA6" s="262"/>
      <c r="JB6" s="262"/>
      <c r="JC6" s="262"/>
      <c r="JD6" s="262"/>
      <c r="JE6" s="262"/>
      <c r="JF6" s="262"/>
      <c r="JG6" s="262"/>
      <c r="JH6" s="262"/>
      <c r="JI6" s="262"/>
      <c r="JJ6" s="262"/>
      <c r="JK6" s="262"/>
      <c r="JL6" s="262"/>
      <c r="JM6" s="262"/>
      <c r="JN6" s="262"/>
      <c r="JO6" s="262"/>
      <c r="JP6" s="262"/>
      <c r="JQ6" s="262"/>
      <c r="JR6" s="262"/>
      <c r="JS6" s="262"/>
      <c r="JT6" s="262"/>
      <c r="JU6" s="262"/>
      <c r="JV6" s="262"/>
      <c r="JW6" s="262"/>
      <c r="JX6" s="262"/>
      <c r="JY6" s="262"/>
      <c r="JZ6" s="262"/>
      <c r="KA6" s="262"/>
      <c r="KB6" s="262"/>
      <c r="KC6" s="262"/>
      <c r="KD6" s="262"/>
      <c r="KE6" s="262"/>
      <c r="KF6" s="262"/>
      <c r="KG6" s="262"/>
      <c r="KH6" s="262"/>
      <c r="KI6" s="262"/>
      <c r="KJ6" s="262"/>
      <c r="KK6" s="262"/>
      <c r="KL6" s="262"/>
      <c r="KM6" s="262"/>
      <c r="KN6" s="262"/>
      <c r="KO6" s="262"/>
      <c r="KP6" s="262"/>
      <c r="KQ6" s="262"/>
      <c r="KR6" s="262"/>
      <c r="KS6" s="262"/>
      <c r="KT6" s="262"/>
      <c r="KU6" s="262"/>
      <c r="KV6" s="262"/>
      <c r="KW6" s="262"/>
      <c r="KX6" s="262"/>
      <c r="KY6" s="262"/>
      <c r="KZ6" s="262"/>
    </row>
    <row r="7" spans="1:312" s="85" customFormat="1" ht="50" customHeight="1">
      <c r="A7" s="75" t="s">
        <v>543</v>
      </c>
      <c r="B7" s="76">
        <v>141908</v>
      </c>
      <c r="C7" s="77"/>
      <c r="D7" s="77"/>
      <c r="E7" s="75"/>
      <c r="F7" s="77" t="e">
        <f t="shared" si="0"/>
        <v>#DIV/0!</v>
      </c>
      <c r="G7" s="78" t="s">
        <v>189</v>
      </c>
      <c r="H7" s="78"/>
      <c r="I7" s="76"/>
      <c r="J7" s="76" t="s">
        <v>688</v>
      </c>
      <c r="K7" s="79" t="s">
        <v>544</v>
      </c>
      <c r="L7" s="80"/>
      <c r="M7" s="80"/>
      <c r="N7" s="81" t="s">
        <v>335</v>
      </c>
      <c r="O7" s="81" t="s">
        <v>335</v>
      </c>
      <c r="P7" s="82"/>
      <c r="Q7" s="83" t="s">
        <v>689</v>
      </c>
      <c r="R7" s="83"/>
      <c r="S7" s="75"/>
      <c r="T7" s="75"/>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c r="FL7" s="262"/>
      <c r="FM7" s="262"/>
      <c r="FN7" s="262"/>
      <c r="FO7" s="262"/>
      <c r="FP7" s="262"/>
      <c r="FQ7" s="262"/>
      <c r="FR7" s="262"/>
      <c r="FS7" s="262"/>
      <c r="FT7" s="262"/>
      <c r="FU7" s="262"/>
      <c r="FV7" s="262"/>
      <c r="FW7" s="262"/>
      <c r="FX7" s="262"/>
      <c r="FY7" s="262"/>
      <c r="FZ7" s="262"/>
      <c r="GA7" s="262"/>
      <c r="GB7" s="262"/>
      <c r="GC7" s="262"/>
      <c r="GD7" s="262"/>
      <c r="GE7" s="262"/>
      <c r="GF7" s="262"/>
      <c r="GG7" s="262"/>
      <c r="GH7" s="262"/>
      <c r="GI7" s="262"/>
      <c r="GJ7" s="262"/>
      <c r="GK7" s="262"/>
      <c r="GL7" s="262"/>
      <c r="GM7" s="262"/>
      <c r="GN7" s="262"/>
      <c r="GO7" s="262"/>
      <c r="GP7" s="262"/>
      <c r="GQ7" s="262"/>
      <c r="GR7" s="262"/>
      <c r="GS7" s="262"/>
      <c r="GT7" s="262"/>
      <c r="GU7" s="262"/>
      <c r="GV7" s="262"/>
      <c r="GW7" s="262"/>
      <c r="GX7" s="262"/>
      <c r="GY7" s="262"/>
      <c r="GZ7" s="262"/>
      <c r="HA7" s="262"/>
      <c r="HB7" s="262"/>
      <c r="HC7" s="262"/>
      <c r="HD7" s="262"/>
      <c r="HE7" s="262"/>
      <c r="HF7" s="262"/>
      <c r="HG7" s="262"/>
      <c r="HH7" s="262"/>
      <c r="HI7" s="262"/>
      <c r="HJ7" s="262"/>
      <c r="HK7" s="262"/>
      <c r="HL7" s="262"/>
      <c r="HM7" s="262"/>
      <c r="HN7" s="262"/>
      <c r="HO7" s="262"/>
      <c r="HP7" s="262"/>
      <c r="HQ7" s="262"/>
      <c r="HR7" s="262"/>
      <c r="HS7" s="262"/>
      <c r="HT7" s="262"/>
      <c r="HU7" s="262"/>
      <c r="HV7" s="262"/>
      <c r="HW7" s="262"/>
      <c r="HX7" s="262"/>
      <c r="HY7" s="262"/>
      <c r="HZ7" s="262"/>
      <c r="IA7" s="262"/>
      <c r="IB7" s="262"/>
      <c r="IC7" s="262"/>
      <c r="ID7" s="262"/>
      <c r="IE7" s="262"/>
      <c r="IF7" s="262"/>
      <c r="IG7" s="262"/>
      <c r="IH7" s="262"/>
      <c r="II7" s="262"/>
      <c r="IJ7" s="262"/>
      <c r="IK7" s="262"/>
      <c r="IL7" s="262"/>
      <c r="IM7" s="262"/>
      <c r="IN7" s="262"/>
      <c r="IO7" s="262"/>
      <c r="IP7" s="262"/>
      <c r="IQ7" s="262"/>
      <c r="IR7" s="262"/>
      <c r="IS7" s="262"/>
      <c r="IT7" s="262"/>
      <c r="IU7" s="262"/>
      <c r="IV7" s="262"/>
      <c r="IW7" s="262"/>
      <c r="IX7" s="262"/>
      <c r="IY7" s="262"/>
      <c r="IZ7" s="262"/>
      <c r="JA7" s="262"/>
      <c r="JB7" s="262"/>
      <c r="JC7" s="262"/>
      <c r="JD7" s="262"/>
      <c r="JE7" s="262"/>
      <c r="JF7" s="262"/>
      <c r="JG7" s="262"/>
      <c r="JH7" s="262"/>
      <c r="JI7" s="262"/>
      <c r="JJ7" s="262"/>
      <c r="JK7" s="262"/>
      <c r="JL7" s="262"/>
      <c r="JM7" s="262"/>
      <c r="JN7" s="262"/>
      <c r="JO7" s="262"/>
      <c r="JP7" s="262"/>
      <c r="JQ7" s="262"/>
      <c r="JR7" s="262"/>
      <c r="JS7" s="262"/>
      <c r="JT7" s="262"/>
      <c r="JU7" s="262"/>
      <c r="JV7" s="262"/>
      <c r="JW7" s="262"/>
      <c r="JX7" s="262"/>
      <c r="JY7" s="262"/>
      <c r="JZ7" s="262"/>
      <c r="KA7" s="262"/>
      <c r="KB7" s="262"/>
      <c r="KC7" s="262"/>
      <c r="KD7" s="262"/>
      <c r="KE7" s="262"/>
      <c r="KF7" s="262"/>
      <c r="KG7" s="262"/>
      <c r="KH7" s="262"/>
      <c r="KI7" s="262"/>
      <c r="KJ7" s="262"/>
      <c r="KK7" s="262"/>
      <c r="KL7" s="262"/>
      <c r="KM7" s="262"/>
      <c r="KN7" s="262"/>
      <c r="KO7" s="262"/>
      <c r="KP7" s="262"/>
      <c r="KQ7" s="262"/>
      <c r="KR7" s="262"/>
      <c r="KS7" s="262"/>
      <c r="KT7" s="262"/>
      <c r="KU7" s="262"/>
      <c r="KV7" s="262"/>
      <c r="KW7" s="262"/>
      <c r="KX7" s="262"/>
      <c r="KY7" s="262"/>
      <c r="KZ7" s="262"/>
    </row>
    <row r="8" spans="1:312" s="85" customFormat="1" ht="50" customHeight="1">
      <c r="A8" s="263" t="s">
        <v>425</v>
      </c>
      <c r="B8" s="264"/>
      <c r="C8" s="86"/>
      <c r="D8" s="86"/>
      <c r="E8" s="60">
        <v>1715</v>
      </c>
      <c r="F8" s="86" t="e">
        <f t="shared" si="0"/>
        <v>#DIV/0!</v>
      </c>
      <c r="G8" s="87">
        <v>48</v>
      </c>
      <c r="H8" s="87">
        <v>48</v>
      </c>
      <c r="I8" s="87"/>
      <c r="J8" s="88" t="s">
        <v>367</v>
      </c>
      <c r="K8" s="89" t="s">
        <v>426</v>
      </c>
      <c r="L8" s="90" t="s">
        <v>335</v>
      </c>
      <c r="M8" s="90" t="s">
        <v>689</v>
      </c>
      <c r="N8" s="91" t="s">
        <v>335</v>
      </c>
      <c r="O8" s="91" t="s">
        <v>335</v>
      </c>
      <c r="P8" s="92"/>
      <c r="Q8" s="93" t="s">
        <v>689</v>
      </c>
      <c r="R8" s="93" t="s">
        <v>689</v>
      </c>
      <c r="S8" s="60">
        <v>1715</v>
      </c>
      <c r="T8" s="263">
        <f t="shared" ref="T8:T71" si="1">S8*G8</f>
        <v>82320</v>
      </c>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c r="CT8" s="262"/>
      <c r="CU8" s="262"/>
      <c r="CV8" s="262"/>
      <c r="CW8" s="262"/>
      <c r="CX8" s="262"/>
      <c r="CY8" s="262"/>
      <c r="CZ8" s="262"/>
      <c r="DA8" s="262"/>
      <c r="DB8" s="262"/>
      <c r="DC8" s="262"/>
      <c r="DD8" s="262"/>
      <c r="DE8" s="262"/>
      <c r="DF8" s="262"/>
      <c r="DG8" s="262"/>
      <c r="DH8" s="262"/>
      <c r="DI8" s="262"/>
      <c r="DJ8" s="262"/>
      <c r="DK8" s="262"/>
      <c r="DL8" s="262"/>
      <c r="DM8" s="262"/>
      <c r="DN8" s="262"/>
      <c r="DO8" s="262"/>
      <c r="DP8" s="262"/>
      <c r="DQ8" s="262"/>
      <c r="DR8" s="262"/>
      <c r="DS8" s="262"/>
      <c r="DT8" s="262"/>
      <c r="DU8" s="262"/>
      <c r="DV8" s="262"/>
      <c r="DW8" s="262"/>
      <c r="DX8" s="262"/>
      <c r="DY8" s="262"/>
      <c r="DZ8" s="262"/>
      <c r="EA8" s="262"/>
      <c r="EB8" s="262"/>
      <c r="EC8" s="262"/>
      <c r="ED8" s="262"/>
      <c r="EE8" s="262"/>
      <c r="EF8" s="262"/>
      <c r="EG8" s="262"/>
      <c r="EH8" s="262"/>
      <c r="EI8" s="262"/>
      <c r="EJ8" s="262"/>
      <c r="EK8" s="262"/>
      <c r="EL8" s="262"/>
      <c r="EM8" s="262"/>
      <c r="EN8" s="262"/>
      <c r="EO8" s="262"/>
      <c r="EP8" s="262"/>
      <c r="EQ8" s="262"/>
      <c r="ER8" s="262"/>
      <c r="ES8" s="262"/>
      <c r="ET8" s="262"/>
      <c r="EU8" s="262"/>
      <c r="EV8" s="262"/>
      <c r="EW8" s="262"/>
      <c r="EX8" s="262"/>
      <c r="EY8" s="262"/>
      <c r="EZ8" s="262"/>
      <c r="FA8" s="262"/>
      <c r="FB8" s="262"/>
      <c r="FC8" s="262"/>
      <c r="FD8" s="262"/>
      <c r="FE8" s="262"/>
      <c r="FF8" s="262"/>
      <c r="FG8" s="262"/>
      <c r="FH8" s="262"/>
      <c r="FI8" s="262"/>
      <c r="FJ8" s="262"/>
      <c r="FK8" s="262"/>
      <c r="FL8" s="262"/>
      <c r="FM8" s="262"/>
      <c r="FN8" s="262"/>
      <c r="FO8" s="262"/>
      <c r="FP8" s="262"/>
      <c r="FQ8" s="262"/>
      <c r="FR8" s="262"/>
      <c r="FS8" s="262"/>
      <c r="FT8" s="262"/>
      <c r="FU8" s="262"/>
      <c r="FV8" s="262"/>
      <c r="FW8" s="262"/>
      <c r="FX8" s="262"/>
      <c r="FY8" s="262"/>
      <c r="FZ8" s="262"/>
      <c r="GA8" s="262"/>
      <c r="GB8" s="262"/>
      <c r="GC8" s="262"/>
      <c r="GD8" s="262"/>
      <c r="GE8" s="262"/>
      <c r="GF8" s="262"/>
      <c r="GG8" s="262"/>
      <c r="GH8" s="262"/>
      <c r="GI8" s="262"/>
      <c r="GJ8" s="262"/>
      <c r="GK8" s="262"/>
      <c r="GL8" s="262"/>
      <c r="GM8" s="262"/>
      <c r="GN8" s="262"/>
      <c r="GO8" s="262"/>
      <c r="GP8" s="262"/>
      <c r="GQ8" s="262"/>
      <c r="GR8" s="262"/>
      <c r="GS8" s="262"/>
      <c r="GT8" s="262"/>
      <c r="GU8" s="262"/>
      <c r="GV8" s="262"/>
      <c r="GW8" s="262"/>
      <c r="GX8" s="262"/>
      <c r="GY8" s="262"/>
      <c r="GZ8" s="262"/>
      <c r="HA8" s="262"/>
      <c r="HB8" s="262"/>
      <c r="HC8" s="262"/>
      <c r="HD8" s="262"/>
      <c r="HE8" s="262"/>
      <c r="HF8" s="262"/>
      <c r="HG8" s="262"/>
      <c r="HH8" s="262"/>
      <c r="HI8" s="262"/>
      <c r="HJ8" s="262"/>
      <c r="HK8" s="262"/>
      <c r="HL8" s="262"/>
      <c r="HM8" s="262"/>
      <c r="HN8" s="262"/>
      <c r="HO8" s="262"/>
      <c r="HP8" s="262"/>
      <c r="HQ8" s="262"/>
      <c r="HR8" s="262"/>
      <c r="HS8" s="262"/>
      <c r="HT8" s="262"/>
      <c r="HU8" s="262"/>
      <c r="HV8" s="262"/>
      <c r="HW8" s="262"/>
      <c r="HX8" s="262"/>
      <c r="HY8" s="262"/>
      <c r="HZ8" s="262"/>
      <c r="IA8" s="262"/>
      <c r="IB8" s="262"/>
      <c r="IC8" s="262"/>
      <c r="ID8" s="262"/>
      <c r="IE8" s="262"/>
      <c r="IF8" s="262"/>
      <c r="IG8" s="262"/>
      <c r="IH8" s="262"/>
      <c r="II8" s="262"/>
      <c r="IJ8" s="262"/>
      <c r="IK8" s="262"/>
      <c r="IL8" s="262"/>
      <c r="IM8" s="262"/>
      <c r="IN8" s="262"/>
      <c r="IO8" s="262"/>
      <c r="IP8" s="262"/>
      <c r="IQ8" s="262"/>
      <c r="IR8" s="262"/>
      <c r="IS8" s="262"/>
      <c r="IT8" s="262"/>
      <c r="IU8" s="262"/>
      <c r="IV8" s="262"/>
      <c r="IW8" s="262"/>
      <c r="IX8" s="262"/>
      <c r="IY8" s="262"/>
      <c r="IZ8" s="262"/>
      <c r="JA8" s="262"/>
      <c r="JB8" s="262"/>
      <c r="JC8" s="262"/>
      <c r="JD8" s="262"/>
      <c r="JE8" s="262"/>
      <c r="JF8" s="262"/>
      <c r="JG8" s="262"/>
      <c r="JH8" s="262"/>
      <c r="JI8" s="262"/>
      <c r="JJ8" s="262"/>
      <c r="JK8" s="262"/>
      <c r="JL8" s="262"/>
      <c r="JM8" s="262"/>
      <c r="JN8" s="262"/>
      <c r="JO8" s="262"/>
      <c r="JP8" s="262"/>
      <c r="JQ8" s="262"/>
      <c r="JR8" s="262"/>
      <c r="JS8" s="262"/>
      <c r="JT8" s="262"/>
      <c r="JU8" s="262"/>
      <c r="JV8" s="262"/>
      <c r="JW8" s="262"/>
      <c r="JX8" s="262"/>
      <c r="JY8" s="262"/>
      <c r="JZ8" s="262"/>
      <c r="KA8" s="262"/>
      <c r="KB8" s="262"/>
      <c r="KC8" s="262"/>
      <c r="KD8" s="262"/>
      <c r="KE8" s="262"/>
      <c r="KF8" s="262"/>
      <c r="KG8" s="262"/>
      <c r="KH8" s="262"/>
      <c r="KI8" s="262"/>
      <c r="KJ8" s="262"/>
      <c r="KK8" s="262"/>
      <c r="KL8" s="262"/>
      <c r="KM8" s="262"/>
      <c r="KN8" s="262"/>
      <c r="KO8" s="262"/>
      <c r="KP8" s="262"/>
      <c r="KQ8" s="262"/>
      <c r="KR8" s="262"/>
      <c r="KS8" s="262"/>
      <c r="KT8" s="262"/>
      <c r="KU8" s="262"/>
      <c r="KV8" s="262"/>
      <c r="KW8" s="262"/>
      <c r="KX8" s="262"/>
      <c r="KY8" s="262"/>
      <c r="KZ8" s="262"/>
    </row>
    <row r="9" spans="1:312" s="85" customFormat="1" ht="50" customHeight="1">
      <c r="A9" s="263" t="s">
        <v>431</v>
      </c>
      <c r="B9" s="264"/>
      <c r="C9" s="86"/>
      <c r="D9" s="86"/>
      <c r="E9" s="60">
        <v>68</v>
      </c>
      <c r="F9" s="86" t="e">
        <f t="shared" si="0"/>
        <v>#DIV/0!</v>
      </c>
      <c r="G9" s="87">
        <v>33</v>
      </c>
      <c r="H9" s="87">
        <v>33</v>
      </c>
      <c r="I9" s="87"/>
      <c r="J9" s="88" t="s">
        <v>367</v>
      </c>
      <c r="K9" s="89" t="s">
        <v>690</v>
      </c>
      <c r="L9" s="94"/>
      <c r="M9" s="94"/>
      <c r="N9" s="91"/>
      <c r="O9" s="91" t="s">
        <v>335</v>
      </c>
      <c r="P9" s="92"/>
      <c r="Q9" s="93" t="s">
        <v>689</v>
      </c>
      <c r="R9" s="93" t="s">
        <v>689</v>
      </c>
      <c r="S9" s="60">
        <v>68</v>
      </c>
      <c r="T9" s="263">
        <f t="shared" si="1"/>
        <v>2244</v>
      </c>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c r="CY9" s="262"/>
      <c r="CZ9" s="262"/>
      <c r="DA9" s="262"/>
      <c r="DB9" s="262"/>
      <c r="DC9" s="262"/>
      <c r="DD9" s="262"/>
      <c r="DE9" s="262"/>
      <c r="DF9" s="262"/>
      <c r="DG9" s="262"/>
      <c r="DH9" s="262"/>
      <c r="DI9" s="262"/>
      <c r="DJ9" s="262"/>
      <c r="DK9" s="262"/>
      <c r="DL9" s="262"/>
      <c r="DM9" s="262"/>
      <c r="DN9" s="262"/>
      <c r="DO9" s="262"/>
      <c r="DP9" s="262"/>
      <c r="DQ9" s="262"/>
      <c r="DR9" s="262"/>
      <c r="DS9" s="262"/>
      <c r="DT9" s="262"/>
      <c r="DU9" s="262"/>
      <c r="DV9" s="262"/>
      <c r="DW9" s="262"/>
      <c r="DX9" s="262"/>
      <c r="DY9" s="262"/>
      <c r="DZ9" s="262"/>
      <c r="EA9" s="262"/>
      <c r="EB9" s="262"/>
      <c r="EC9" s="262"/>
      <c r="ED9" s="262"/>
      <c r="EE9" s="262"/>
      <c r="EF9" s="262"/>
      <c r="EG9" s="262"/>
      <c r="EH9" s="262"/>
      <c r="EI9" s="262"/>
      <c r="EJ9" s="262"/>
      <c r="EK9" s="262"/>
      <c r="EL9" s="262"/>
      <c r="EM9" s="262"/>
      <c r="EN9" s="262"/>
      <c r="EO9" s="262"/>
      <c r="EP9" s="262"/>
      <c r="EQ9" s="262"/>
      <c r="ER9" s="262"/>
      <c r="ES9" s="262"/>
      <c r="ET9" s="262"/>
      <c r="EU9" s="262"/>
      <c r="EV9" s="262"/>
      <c r="EW9" s="262"/>
      <c r="EX9" s="262"/>
      <c r="EY9" s="262"/>
      <c r="EZ9" s="262"/>
      <c r="FA9" s="262"/>
      <c r="FB9" s="262"/>
      <c r="FC9" s="262"/>
      <c r="FD9" s="262"/>
      <c r="FE9" s="262"/>
      <c r="FF9" s="262"/>
      <c r="FG9" s="262"/>
      <c r="FH9" s="262"/>
      <c r="FI9" s="262"/>
      <c r="FJ9" s="262"/>
      <c r="FK9" s="262"/>
      <c r="FL9" s="262"/>
      <c r="FM9" s="262"/>
      <c r="FN9" s="262"/>
      <c r="FO9" s="262"/>
      <c r="FP9" s="262"/>
      <c r="FQ9" s="262"/>
      <c r="FR9" s="262"/>
      <c r="FS9" s="262"/>
      <c r="FT9" s="262"/>
      <c r="FU9" s="262"/>
      <c r="FV9" s="262"/>
      <c r="FW9" s="262"/>
      <c r="FX9" s="262"/>
      <c r="FY9" s="262"/>
      <c r="FZ9" s="262"/>
      <c r="GA9" s="262"/>
      <c r="GB9" s="262"/>
      <c r="GC9" s="262"/>
      <c r="GD9" s="262"/>
      <c r="GE9" s="262"/>
      <c r="GF9" s="262"/>
      <c r="GG9" s="262"/>
      <c r="GH9" s="262"/>
      <c r="GI9" s="262"/>
      <c r="GJ9" s="262"/>
      <c r="GK9" s="262"/>
      <c r="GL9" s="262"/>
      <c r="GM9" s="262"/>
      <c r="GN9" s="262"/>
      <c r="GO9" s="262"/>
      <c r="GP9" s="262"/>
      <c r="GQ9" s="262"/>
      <c r="GR9" s="262"/>
      <c r="GS9" s="262"/>
      <c r="GT9" s="262"/>
      <c r="GU9" s="262"/>
      <c r="GV9" s="262"/>
      <c r="GW9" s="262"/>
      <c r="GX9" s="262"/>
      <c r="GY9" s="262"/>
      <c r="GZ9" s="262"/>
      <c r="HA9" s="262"/>
      <c r="HB9" s="262"/>
      <c r="HC9" s="262"/>
      <c r="HD9" s="262"/>
      <c r="HE9" s="262"/>
      <c r="HF9" s="262"/>
      <c r="HG9" s="262"/>
      <c r="HH9" s="262"/>
      <c r="HI9" s="262"/>
      <c r="HJ9" s="262"/>
      <c r="HK9" s="262"/>
      <c r="HL9" s="262"/>
      <c r="HM9" s="262"/>
      <c r="HN9" s="262"/>
      <c r="HO9" s="262"/>
      <c r="HP9" s="262"/>
      <c r="HQ9" s="262"/>
      <c r="HR9" s="262"/>
      <c r="HS9" s="262"/>
      <c r="HT9" s="262"/>
      <c r="HU9" s="262"/>
      <c r="HV9" s="262"/>
      <c r="HW9" s="262"/>
      <c r="HX9" s="262"/>
      <c r="HY9" s="262"/>
      <c r="HZ9" s="262"/>
      <c r="IA9" s="262"/>
      <c r="IB9" s="262"/>
      <c r="IC9" s="262"/>
      <c r="ID9" s="262"/>
      <c r="IE9" s="262"/>
      <c r="IF9" s="262"/>
      <c r="IG9" s="262"/>
      <c r="IH9" s="262"/>
      <c r="II9" s="262"/>
      <c r="IJ9" s="262"/>
      <c r="IK9" s="262"/>
      <c r="IL9" s="262"/>
      <c r="IM9" s="262"/>
      <c r="IN9" s="262"/>
      <c r="IO9" s="262"/>
      <c r="IP9" s="262"/>
      <c r="IQ9" s="262"/>
      <c r="IR9" s="262"/>
      <c r="IS9" s="262"/>
      <c r="IT9" s="262"/>
      <c r="IU9" s="262"/>
      <c r="IV9" s="262"/>
      <c r="IW9" s="262"/>
      <c r="IX9" s="262"/>
      <c r="IY9" s="262"/>
      <c r="IZ9" s="262"/>
      <c r="JA9" s="262"/>
      <c r="JB9" s="262"/>
      <c r="JC9" s="262"/>
      <c r="JD9" s="262"/>
      <c r="JE9" s="262"/>
      <c r="JF9" s="262"/>
      <c r="JG9" s="262"/>
      <c r="JH9" s="262"/>
      <c r="JI9" s="262"/>
      <c r="JJ9" s="262"/>
      <c r="JK9" s="262"/>
      <c r="JL9" s="262"/>
      <c r="JM9" s="262"/>
      <c r="JN9" s="262"/>
      <c r="JO9" s="262"/>
      <c r="JP9" s="262"/>
      <c r="JQ9" s="262"/>
      <c r="JR9" s="262"/>
      <c r="JS9" s="262"/>
      <c r="JT9" s="262"/>
      <c r="JU9" s="262"/>
      <c r="JV9" s="262"/>
      <c r="JW9" s="262"/>
      <c r="JX9" s="262"/>
      <c r="JY9" s="262"/>
      <c r="JZ9" s="262"/>
      <c r="KA9" s="262"/>
      <c r="KB9" s="262"/>
      <c r="KC9" s="262"/>
      <c r="KD9" s="262"/>
      <c r="KE9" s="262"/>
      <c r="KF9" s="262"/>
      <c r="KG9" s="262"/>
      <c r="KH9" s="262"/>
      <c r="KI9" s="262"/>
      <c r="KJ9" s="262"/>
      <c r="KK9" s="262"/>
      <c r="KL9" s="262"/>
      <c r="KM9" s="262"/>
      <c r="KN9" s="262"/>
      <c r="KO9" s="262"/>
      <c r="KP9" s="262"/>
      <c r="KQ9" s="262"/>
      <c r="KR9" s="262"/>
      <c r="KS9" s="262"/>
      <c r="KT9" s="262"/>
      <c r="KU9" s="262"/>
      <c r="KV9" s="262"/>
      <c r="KW9" s="262"/>
      <c r="KX9" s="262"/>
      <c r="KY9" s="262"/>
      <c r="KZ9" s="262"/>
    </row>
    <row r="10" spans="1:312" s="85" customFormat="1" ht="50" customHeight="1">
      <c r="A10" s="263" t="s">
        <v>128</v>
      </c>
      <c r="B10" s="264">
        <v>46756</v>
      </c>
      <c r="C10" s="86">
        <v>24424</v>
      </c>
      <c r="D10" s="86">
        <v>878</v>
      </c>
      <c r="E10" s="60">
        <v>1599</v>
      </c>
      <c r="F10" s="86">
        <f t="shared" si="0"/>
        <v>27.817767653758541</v>
      </c>
      <c r="G10" s="87">
        <v>28</v>
      </c>
      <c r="H10" s="87">
        <v>28</v>
      </c>
      <c r="I10" s="87"/>
      <c r="J10" s="87" t="s">
        <v>204</v>
      </c>
      <c r="K10" s="89" t="s">
        <v>337</v>
      </c>
      <c r="L10" s="90" t="s">
        <v>335</v>
      </c>
      <c r="M10" s="94"/>
      <c r="N10" s="91" t="s">
        <v>335</v>
      </c>
      <c r="O10" s="91" t="s">
        <v>335</v>
      </c>
      <c r="P10" s="92"/>
      <c r="Q10" s="95" t="s">
        <v>689</v>
      </c>
      <c r="R10" s="95"/>
      <c r="S10" s="60">
        <v>1599</v>
      </c>
      <c r="T10" s="263">
        <f t="shared" si="1"/>
        <v>44772</v>
      </c>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2"/>
      <c r="CV10" s="262"/>
      <c r="CW10" s="262"/>
      <c r="CX10" s="262"/>
      <c r="CY10" s="262"/>
      <c r="CZ10" s="262"/>
      <c r="DA10" s="262"/>
      <c r="DB10" s="262"/>
      <c r="DC10" s="262"/>
      <c r="DD10" s="262"/>
      <c r="DE10" s="262"/>
      <c r="DF10" s="262"/>
      <c r="DG10" s="262"/>
      <c r="DH10" s="262"/>
      <c r="DI10" s="262"/>
      <c r="DJ10" s="262"/>
      <c r="DK10" s="262"/>
      <c r="DL10" s="262"/>
      <c r="DM10" s="262"/>
      <c r="DN10" s="262"/>
      <c r="DO10" s="262"/>
      <c r="DP10" s="262"/>
      <c r="DQ10" s="262"/>
      <c r="DR10" s="262"/>
      <c r="DS10" s="262"/>
      <c r="DT10" s="262"/>
      <c r="DU10" s="262"/>
      <c r="DV10" s="262"/>
      <c r="DW10" s="262"/>
      <c r="DX10" s="262"/>
      <c r="DY10" s="262"/>
      <c r="DZ10" s="262"/>
      <c r="EA10" s="262"/>
      <c r="EB10" s="262"/>
      <c r="EC10" s="262"/>
      <c r="ED10" s="262"/>
      <c r="EE10" s="262"/>
      <c r="EF10" s="262"/>
      <c r="EG10" s="262"/>
      <c r="EH10" s="262"/>
      <c r="EI10" s="262"/>
      <c r="EJ10" s="262"/>
      <c r="EK10" s="262"/>
      <c r="EL10" s="262"/>
      <c r="EM10" s="262"/>
      <c r="EN10" s="262"/>
      <c r="EO10" s="262"/>
      <c r="EP10" s="262"/>
      <c r="EQ10" s="262"/>
      <c r="ER10" s="262"/>
      <c r="ES10" s="262"/>
      <c r="ET10" s="262"/>
      <c r="EU10" s="262"/>
      <c r="EV10" s="262"/>
      <c r="EW10" s="262"/>
      <c r="EX10" s="262"/>
      <c r="EY10" s="262"/>
      <c r="EZ10" s="262"/>
      <c r="FA10" s="262"/>
      <c r="FB10" s="262"/>
      <c r="FC10" s="262"/>
      <c r="FD10" s="262"/>
      <c r="FE10" s="262"/>
      <c r="FF10" s="262"/>
      <c r="FG10" s="262"/>
      <c r="FH10" s="262"/>
      <c r="FI10" s="262"/>
      <c r="FJ10" s="262"/>
      <c r="FK10" s="262"/>
      <c r="FL10" s="262"/>
      <c r="FM10" s="262"/>
      <c r="FN10" s="262"/>
      <c r="FO10" s="262"/>
      <c r="FP10" s="262"/>
      <c r="FQ10" s="262"/>
      <c r="FR10" s="262"/>
      <c r="FS10" s="262"/>
      <c r="FT10" s="262"/>
      <c r="FU10" s="262"/>
      <c r="FV10" s="262"/>
      <c r="FW10" s="262"/>
      <c r="FX10" s="262"/>
      <c r="FY10" s="262"/>
      <c r="FZ10" s="262"/>
      <c r="GA10" s="262"/>
      <c r="GB10" s="262"/>
      <c r="GC10" s="262"/>
      <c r="GD10" s="262"/>
      <c r="GE10" s="262"/>
      <c r="GF10" s="262"/>
      <c r="GG10" s="262"/>
      <c r="GH10" s="262"/>
      <c r="GI10" s="262"/>
      <c r="GJ10" s="262"/>
      <c r="GK10" s="262"/>
      <c r="GL10" s="262"/>
      <c r="GM10" s="262"/>
      <c r="GN10" s="262"/>
      <c r="GO10" s="262"/>
      <c r="GP10" s="262"/>
      <c r="GQ10" s="262"/>
      <c r="GR10" s="262"/>
      <c r="GS10" s="262"/>
      <c r="GT10" s="262"/>
      <c r="GU10" s="262"/>
      <c r="GV10" s="262"/>
      <c r="GW10" s="262"/>
      <c r="GX10" s="262"/>
      <c r="GY10" s="262"/>
      <c r="GZ10" s="262"/>
      <c r="HA10" s="262"/>
      <c r="HB10" s="262"/>
      <c r="HC10" s="262"/>
      <c r="HD10" s="262"/>
      <c r="HE10" s="262"/>
      <c r="HF10" s="262"/>
      <c r="HG10" s="262"/>
      <c r="HH10" s="262"/>
      <c r="HI10" s="262"/>
      <c r="HJ10" s="262"/>
      <c r="HK10" s="262"/>
      <c r="HL10" s="262"/>
      <c r="HM10" s="262"/>
      <c r="HN10" s="262"/>
      <c r="HO10" s="262"/>
      <c r="HP10" s="262"/>
      <c r="HQ10" s="262"/>
      <c r="HR10" s="262"/>
      <c r="HS10" s="262"/>
      <c r="HT10" s="262"/>
      <c r="HU10" s="262"/>
      <c r="HV10" s="262"/>
      <c r="HW10" s="262"/>
      <c r="HX10" s="262"/>
      <c r="HY10" s="262"/>
      <c r="HZ10" s="262"/>
      <c r="IA10" s="262"/>
      <c r="IB10" s="262"/>
      <c r="IC10" s="262"/>
      <c r="ID10" s="262"/>
      <c r="IE10" s="262"/>
      <c r="IF10" s="262"/>
      <c r="IG10" s="262"/>
      <c r="IH10" s="262"/>
      <c r="II10" s="262"/>
      <c r="IJ10" s="262"/>
      <c r="IK10" s="262"/>
      <c r="IL10" s="262"/>
      <c r="IM10" s="262"/>
      <c r="IN10" s="262"/>
      <c r="IO10" s="262"/>
      <c r="IP10" s="262"/>
      <c r="IQ10" s="262"/>
      <c r="IR10" s="262"/>
      <c r="IS10" s="262"/>
      <c r="IT10" s="262"/>
      <c r="IU10" s="262"/>
      <c r="IV10" s="262"/>
      <c r="IW10" s="262"/>
      <c r="IX10" s="262"/>
      <c r="IY10" s="262"/>
      <c r="IZ10" s="262"/>
      <c r="JA10" s="262"/>
      <c r="JB10" s="262"/>
      <c r="JC10" s="262"/>
      <c r="JD10" s="262"/>
      <c r="JE10" s="262"/>
      <c r="JF10" s="262"/>
      <c r="JG10" s="262"/>
      <c r="JH10" s="262"/>
      <c r="JI10" s="262"/>
      <c r="JJ10" s="262"/>
      <c r="JK10" s="262"/>
      <c r="JL10" s="262"/>
      <c r="JM10" s="262"/>
      <c r="JN10" s="262"/>
      <c r="JO10" s="262"/>
      <c r="JP10" s="262"/>
      <c r="JQ10" s="262"/>
      <c r="JR10" s="262"/>
      <c r="JS10" s="262"/>
      <c r="JT10" s="262"/>
      <c r="JU10" s="262"/>
      <c r="JV10" s="262"/>
      <c r="JW10" s="262"/>
      <c r="JX10" s="262"/>
      <c r="JY10" s="262"/>
      <c r="JZ10" s="262"/>
      <c r="KA10" s="262"/>
      <c r="KB10" s="262"/>
      <c r="KC10" s="262"/>
      <c r="KD10" s="262"/>
      <c r="KE10" s="262"/>
      <c r="KF10" s="262"/>
      <c r="KG10" s="262"/>
      <c r="KH10" s="262"/>
      <c r="KI10" s="262"/>
      <c r="KJ10" s="262"/>
      <c r="KK10" s="262"/>
      <c r="KL10" s="262"/>
      <c r="KM10" s="262"/>
      <c r="KN10" s="262"/>
      <c r="KO10" s="262"/>
      <c r="KP10" s="262"/>
      <c r="KQ10" s="262"/>
      <c r="KR10" s="262"/>
      <c r="KS10" s="262"/>
      <c r="KT10" s="262"/>
      <c r="KU10" s="262"/>
      <c r="KV10" s="262"/>
      <c r="KW10" s="262"/>
      <c r="KX10" s="262"/>
      <c r="KY10" s="262"/>
      <c r="KZ10" s="262"/>
    </row>
    <row r="11" spans="1:312" s="85" customFormat="1" ht="50" customHeight="1">
      <c r="A11" s="263" t="s">
        <v>419</v>
      </c>
      <c r="B11" s="264"/>
      <c r="C11" s="86"/>
      <c r="D11" s="86"/>
      <c r="E11" s="60">
        <v>1715</v>
      </c>
      <c r="F11" s="86" t="e">
        <f t="shared" si="0"/>
        <v>#DIV/0!</v>
      </c>
      <c r="G11" s="87">
        <v>25</v>
      </c>
      <c r="H11" s="87">
        <v>25</v>
      </c>
      <c r="I11" s="87"/>
      <c r="J11" s="88" t="s">
        <v>367</v>
      </c>
      <c r="K11" s="89" t="s">
        <v>420</v>
      </c>
      <c r="L11" s="90" t="s">
        <v>335</v>
      </c>
      <c r="M11" s="90" t="s">
        <v>689</v>
      </c>
      <c r="N11" s="91" t="s">
        <v>335</v>
      </c>
      <c r="O11" s="91" t="s">
        <v>335</v>
      </c>
      <c r="P11" s="92"/>
      <c r="Q11" s="93" t="s">
        <v>689</v>
      </c>
      <c r="R11" s="93" t="s">
        <v>689</v>
      </c>
      <c r="S11" s="60">
        <v>1715</v>
      </c>
      <c r="T11" s="263">
        <f t="shared" si="1"/>
        <v>42875</v>
      </c>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2"/>
      <c r="CV11" s="262"/>
      <c r="CW11" s="262"/>
      <c r="CX11" s="262"/>
      <c r="CY11" s="262"/>
      <c r="CZ11" s="262"/>
      <c r="DA11" s="262"/>
      <c r="DB11" s="262"/>
      <c r="DC11" s="262"/>
      <c r="DD11" s="262"/>
      <c r="DE11" s="262"/>
      <c r="DF11" s="262"/>
      <c r="DG11" s="262"/>
      <c r="DH11" s="262"/>
      <c r="DI11" s="262"/>
      <c r="DJ11" s="262"/>
      <c r="DK11" s="262"/>
      <c r="DL11" s="262"/>
      <c r="DM11" s="262"/>
      <c r="DN11" s="262"/>
      <c r="DO11" s="262"/>
      <c r="DP11" s="262"/>
      <c r="DQ11" s="262"/>
      <c r="DR11" s="262"/>
      <c r="DS11" s="262"/>
      <c r="DT11" s="262"/>
      <c r="DU11" s="262"/>
      <c r="DV11" s="262"/>
      <c r="DW11" s="262"/>
      <c r="DX11" s="262"/>
      <c r="DY11" s="262"/>
      <c r="DZ11" s="262"/>
      <c r="EA11" s="262"/>
      <c r="EB11" s="262"/>
      <c r="EC11" s="262"/>
      <c r="ED11" s="262"/>
      <c r="EE11" s="262"/>
      <c r="EF11" s="262"/>
      <c r="EG11" s="262"/>
      <c r="EH11" s="262"/>
      <c r="EI11" s="262"/>
      <c r="EJ11" s="262"/>
      <c r="EK11" s="262"/>
      <c r="EL11" s="262"/>
      <c r="EM11" s="262"/>
      <c r="EN11" s="262"/>
      <c r="EO11" s="262"/>
      <c r="EP11" s="262"/>
      <c r="EQ11" s="262"/>
      <c r="ER11" s="262"/>
      <c r="ES11" s="262"/>
      <c r="ET11" s="262"/>
      <c r="EU11" s="262"/>
      <c r="EV11" s="262"/>
      <c r="EW11" s="262"/>
      <c r="EX11" s="262"/>
      <c r="EY11" s="262"/>
      <c r="EZ11" s="262"/>
      <c r="FA11" s="262"/>
      <c r="FB11" s="262"/>
      <c r="FC11" s="262"/>
      <c r="FD11" s="262"/>
      <c r="FE11" s="262"/>
      <c r="FF11" s="262"/>
      <c r="FG11" s="262"/>
      <c r="FH11" s="262"/>
      <c r="FI11" s="262"/>
      <c r="FJ11" s="262"/>
      <c r="FK11" s="262"/>
      <c r="FL11" s="262"/>
      <c r="FM11" s="262"/>
      <c r="FN11" s="262"/>
      <c r="FO11" s="262"/>
      <c r="FP11" s="262"/>
      <c r="FQ11" s="262"/>
      <c r="FR11" s="262"/>
      <c r="FS11" s="262"/>
      <c r="FT11" s="262"/>
      <c r="FU11" s="262"/>
      <c r="FV11" s="262"/>
      <c r="FW11" s="262"/>
      <c r="FX11" s="262"/>
      <c r="FY11" s="262"/>
      <c r="FZ11" s="262"/>
      <c r="GA11" s="262"/>
      <c r="GB11" s="262"/>
      <c r="GC11" s="262"/>
      <c r="GD11" s="262"/>
      <c r="GE11" s="262"/>
      <c r="GF11" s="262"/>
      <c r="GG11" s="262"/>
      <c r="GH11" s="262"/>
      <c r="GI11" s="262"/>
      <c r="GJ11" s="262"/>
      <c r="GK11" s="262"/>
      <c r="GL11" s="262"/>
      <c r="GM11" s="262"/>
      <c r="GN11" s="262"/>
      <c r="GO11" s="262"/>
      <c r="GP11" s="262"/>
      <c r="GQ11" s="262"/>
      <c r="GR11" s="262"/>
      <c r="GS11" s="262"/>
      <c r="GT11" s="262"/>
      <c r="GU11" s="262"/>
      <c r="GV11" s="262"/>
      <c r="GW11" s="262"/>
      <c r="GX11" s="262"/>
      <c r="GY11" s="262"/>
      <c r="GZ11" s="262"/>
      <c r="HA11" s="262"/>
      <c r="HB11" s="262"/>
      <c r="HC11" s="262"/>
      <c r="HD11" s="262"/>
      <c r="HE11" s="262"/>
      <c r="HF11" s="262"/>
      <c r="HG11" s="262"/>
      <c r="HH11" s="262"/>
      <c r="HI11" s="262"/>
      <c r="HJ11" s="262"/>
      <c r="HK11" s="262"/>
      <c r="HL11" s="262"/>
      <c r="HM11" s="262"/>
      <c r="HN11" s="262"/>
      <c r="HO11" s="262"/>
      <c r="HP11" s="262"/>
      <c r="HQ11" s="262"/>
      <c r="HR11" s="262"/>
      <c r="HS11" s="262"/>
      <c r="HT11" s="262"/>
      <c r="HU11" s="262"/>
      <c r="HV11" s="262"/>
      <c r="HW11" s="262"/>
      <c r="HX11" s="262"/>
      <c r="HY11" s="262"/>
      <c r="HZ11" s="262"/>
      <c r="IA11" s="262"/>
      <c r="IB11" s="262"/>
      <c r="IC11" s="262"/>
      <c r="ID11" s="262"/>
      <c r="IE11" s="262"/>
      <c r="IF11" s="262"/>
      <c r="IG11" s="262"/>
      <c r="IH11" s="262"/>
      <c r="II11" s="262"/>
      <c r="IJ11" s="262"/>
      <c r="IK11" s="262"/>
      <c r="IL11" s="262"/>
      <c r="IM11" s="262"/>
      <c r="IN11" s="262"/>
      <c r="IO11" s="262"/>
      <c r="IP11" s="262"/>
      <c r="IQ11" s="262"/>
      <c r="IR11" s="262"/>
      <c r="IS11" s="262"/>
      <c r="IT11" s="262"/>
      <c r="IU11" s="262"/>
      <c r="IV11" s="262"/>
      <c r="IW11" s="262"/>
      <c r="IX11" s="262"/>
      <c r="IY11" s="262"/>
      <c r="IZ11" s="262"/>
      <c r="JA11" s="262"/>
      <c r="JB11" s="262"/>
      <c r="JC11" s="262"/>
      <c r="JD11" s="262"/>
      <c r="JE11" s="262"/>
      <c r="JF11" s="262"/>
      <c r="JG11" s="262"/>
      <c r="JH11" s="262"/>
      <c r="JI11" s="262"/>
      <c r="JJ11" s="262"/>
      <c r="JK11" s="262"/>
      <c r="JL11" s="262"/>
      <c r="JM11" s="262"/>
      <c r="JN11" s="262"/>
      <c r="JO11" s="262"/>
      <c r="JP11" s="262"/>
      <c r="JQ11" s="262"/>
      <c r="JR11" s="262"/>
      <c r="JS11" s="262"/>
      <c r="JT11" s="262"/>
      <c r="JU11" s="262"/>
      <c r="JV11" s="262"/>
      <c r="JW11" s="262"/>
      <c r="JX11" s="262"/>
      <c r="JY11" s="262"/>
      <c r="JZ11" s="262"/>
      <c r="KA11" s="262"/>
      <c r="KB11" s="262"/>
      <c r="KC11" s="262"/>
      <c r="KD11" s="262"/>
      <c r="KE11" s="262"/>
      <c r="KF11" s="262"/>
      <c r="KG11" s="262"/>
      <c r="KH11" s="262"/>
      <c r="KI11" s="262"/>
      <c r="KJ11" s="262"/>
      <c r="KK11" s="262"/>
      <c r="KL11" s="262"/>
      <c r="KM11" s="262"/>
      <c r="KN11" s="262"/>
      <c r="KO11" s="262"/>
      <c r="KP11" s="262"/>
      <c r="KQ11" s="262"/>
      <c r="KR11" s="262"/>
      <c r="KS11" s="262"/>
      <c r="KT11" s="262"/>
      <c r="KU11" s="262"/>
      <c r="KV11" s="262"/>
      <c r="KW11" s="262"/>
      <c r="KX11" s="262"/>
      <c r="KY11" s="262"/>
      <c r="KZ11" s="262"/>
    </row>
    <row r="12" spans="1:312" s="85" customFormat="1" ht="50" customHeight="1">
      <c r="A12" s="263" t="s">
        <v>112</v>
      </c>
      <c r="B12" s="264"/>
      <c r="C12" s="86"/>
      <c r="D12" s="86"/>
      <c r="E12" s="60">
        <v>1599</v>
      </c>
      <c r="F12" s="86" t="e">
        <f t="shared" si="0"/>
        <v>#DIV/0!</v>
      </c>
      <c r="G12" s="87">
        <v>21</v>
      </c>
      <c r="H12" s="87">
        <v>21</v>
      </c>
      <c r="I12" s="87"/>
      <c r="J12" s="87" t="s">
        <v>248</v>
      </c>
      <c r="K12" s="89" t="s">
        <v>288</v>
      </c>
      <c r="L12" s="90" t="s">
        <v>335</v>
      </c>
      <c r="M12" s="94"/>
      <c r="N12" s="91" t="s">
        <v>335</v>
      </c>
      <c r="O12" s="91" t="s">
        <v>335</v>
      </c>
      <c r="P12" s="92"/>
      <c r="Q12" s="95" t="s">
        <v>689</v>
      </c>
      <c r="R12" s="95"/>
      <c r="S12" s="60">
        <v>1599</v>
      </c>
      <c r="T12" s="263">
        <f t="shared" si="1"/>
        <v>33579</v>
      </c>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c r="CY12" s="262"/>
      <c r="CZ12" s="262"/>
      <c r="DA12" s="262"/>
      <c r="DB12" s="262"/>
      <c r="DC12" s="262"/>
      <c r="DD12" s="262"/>
      <c r="DE12" s="262"/>
      <c r="DF12" s="262"/>
      <c r="DG12" s="262"/>
      <c r="DH12" s="262"/>
      <c r="DI12" s="262"/>
      <c r="DJ12" s="262"/>
      <c r="DK12" s="262"/>
      <c r="DL12" s="262"/>
      <c r="DM12" s="262"/>
      <c r="DN12" s="262"/>
      <c r="DO12" s="262"/>
      <c r="DP12" s="262"/>
      <c r="DQ12" s="262"/>
      <c r="DR12" s="262"/>
      <c r="DS12" s="262"/>
      <c r="DT12" s="262"/>
      <c r="DU12" s="262"/>
      <c r="DV12" s="262"/>
      <c r="DW12" s="262"/>
      <c r="DX12" s="262"/>
      <c r="DY12" s="262"/>
      <c r="DZ12" s="262"/>
      <c r="EA12" s="262"/>
      <c r="EB12" s="262"/>
      <c r="EC12" s="262"/>
      <c r="ED12" s="262"/>
      <c r="EE12" s="262"/>
      <c r="EF12" s="262"/>
      <c r="EG12" s="262"/>
      <c r="EH12" s="262"/>
      <c r="EI12" s="262"/>
      <c r="EJ12" s="262"/>
      <c r="EK12" s="262"/>
      <c r="EL12" s="262"/>
      <c r="EM12" s="262"/>
      <c r="EN12" s="262"/>
      <c r="EO12" s="262"/>
      <c r="EP12" s="262"/>
      <c r="EQ12" s="262"/>
      <c r="ER12" s="262"/>
      <c r="ES12" s="262"/>
      <c r="ET12" s="262"/>
      <c r="EU12" s="262"/>
      <c r="EV12" s="262"/>
      <c r="EW12" s="262"/>
      <c r="EX12" s="262"/>
      <c r="EY12" s="262"/>
      <c r="EZ12" s="262"/>
      <c r="FA12" s="262"/>
      <c r="FB12" s="262"/>
      <c r="FC12" s="262"/>
      <c r="FD12" s="262"/>
      <c r="FE12" s="262"/>
      <c r="FF12" s="262"/>
      <c r="FG12" s="262"/>
      <c r="FH12" s="262"/>
      <c r="FI12" s="262"/>
      <c r="FJ12" s="262"/>
      <c r="FK12" s="262"/>
      <c r="FL12" s="262"/>
      <c r="FM12" s="262"/>
      <c r="FN12" s="262"/>
      <c r="FO12" s="262"/>
      <c r="FP12" s="262"/>
      <c r="FQ12" s="262"/>
      <c r="FR12" s="262"/>
      <c r="FS12" s="262"/>
      <c r="FT12" s="262"/>
      <c r="FU12" s="262"/>
      <c r="FV12" s="262"/>
      <c r="FW12" s="262"/>
      <c r="FX12" s="262"/>
      <c r="FY12" s="262"/>
      <c r="FZ12" s="262"/>
      <c r="GA12" s="262"/>
      <c r="GB12" s="262"/>
      <c r="GC12" s="262"/>
      <c r="GD12" s="262"/>
      <c r="GE12" s="262"/>
      <c r="GF12" s="262"/>
      <c r="GG12" s="262"/>
      <c r="GH12" s="262"/>
      <c r="GI12" s="262"/>
      <c r="GJ12" s="262"/>
      <c r="GK12" s="262"/>
      <c r="GL12" s="262"/>
      <c r="GM12" s="262"/>
      <c r="GN12" s="262"/>
      <c r="GO12" s="262"/>
      <c r="GP12" s="262"/>
      <c r="GQ12" s="262"/>
      <c r="GR12" s="262"/>
      <c r="GS12" s="262"/>
      <c r="GT12" s="262"/>
      <c r="GU12" s="262"/>
      <c r="GV12" s="262"/>
      <c r="GW12" s="262"/>
      <c r="GX12" s="262"/>
      <c r="GY12" s="262"/>
      <c r="GZ12" s="262"/>
      <c r="HA12" s="262"/>
      <c r="HB12" s="262"/>
      <c r="HC12" s="262"/>
      <c r="HD12" s="262"/>
      <c r="HE12" s="262"/>
      <c r="HF12" s="262"/>
      <c r="HG12" s="262"/>
      <c r="HH12" s="262"/>
      <c r="HI12" s="262"/>
      <c r="HJ12" s="262"/>
      <c r="HK12" s="262"/>
      <c r="HL12" s="262"/>
      <c r="HM12" s="262"/>
      <c r="HN12" s="262"/>
      <c r="HO12" s="262"/>
      <c r="HP12" s="262"/>
      <c r="HQ12" s="262"/>
      <c r="HR12" s="262"/>
      <c r="HS12" s="262"/>
      <c r="HT12" s="262"/>
      <c r="HU12" s="262"/>
      <c r="HV12" s="262"/>
      <c r="HW12" s="262"/>
      <c r="HX12" s="262"/>
      <c r="HY12" s="262"/>
      <c r="HZ12" s="262"/>
      <c r="IA12" s="262"/>
      <c r="IB12" s="262"/>
      <c r="IC12" s="262"/>
      <c r="ID12" s="262"/>
      <c r="IE12" s="262"/>
      <c r="IF12" s="262"/>
      <c r="IG12" s="262"/>
      <c r="IH12" s="262"/>
      <c r="II12" s="262"/>
      <c r="IJ12" s="262"/>
      <c r="IK12" s="262"/>
      <c r="IL12" s="262"/>
      <c r="IM12" s="262"/>
      <c r="IN12" s="262"/>
      <c r="IO12" s="262"/>
      <c r="IP12" s="262"/>
      <c r="IQ12" s="262"/>
      <c r="IR12" s="262"/>
      <c r="IS12" s="262"/>
      <c r="IT12" s="262"/>
      <c r="IU12" s="262"/>
      <c r="IV12" s="262"/>
      <c r="IW12" s="262"/>
      <c r="IX12" s="262"/>
      <c r="IY12" s="262"/>
      <c r="IZ12" s="262"/>
      <c r="JA12" s="262"/>
      <c r="JB12" s="262"/>
      <c r="JC12" s="262"/>
      <c r="JD12" s="262"/>
      <c r="JE12" s="262"/>
      <c r="JF12" s="262"/>
      <c r="JG12" s="262"/>
      <c r="JH12" s="262"/>
      <c r="JI12" s="262"/>
      <c r="JJ12" s="262"/>
      <c r="JK12" s="262"/>
      <c r="JL12" s="262"/>
      <c r="JM12" s="262"/>
      <c r="JN12" s="262"/>
      <c r="JO12" s="262"/>
      <c r="JP12" s="262"/>
      <c r="JQ12" s="262"/>
      <c r="JR12" s="262"/>
      <c r="JS12" s="262"/>
      <c r="JT12" s="262"/>
      <c r="JU12" s="262"/>
      <c r="JV12" s="262"/>
      <c r="JW12" s="262"/>
      <c r="JX12" s="262"/>
      <c r="JY12" s="262"/>
      <c r="JZ12" s="262"/>
      <c r="KA12" s="262"/>
      <c r="KB12" s="262"/>
      <c r="KC12" s="262"/>
      <c r="KD12" s="262"/>
      <c r="KE12" s="262"/>
      <c r="KF12" s="262"/>
      <c r="KG12" s="262"/>
      <c r="KH12" s="262"/>
      <c r="KI12" s="262"/>
      <c r="KJ12" s="262"/>
      <c r="KK12" s="262"/>
      <c r="KL12" s="262"/>
      <c r="KM12" s="262"/>
      <c r="KN12" s="262"/>
      <c r="KO12" s="262"/>
      <c r="KP12" s="262"/>
      <c r="KQ12" s="262"/>
      <c r="KR12" s="262"/>
      <c r="KS12" s="262"/>
      <c r="KT12" s="262"/>
      <c r="KU12" s="262"/>
      <c r="KV12" s="262"/>
      <c r="KW12" s="262"/>
      <c r="KX12" s="262"/>
      <c r="KY12" s="262"/>
      <c r="KZ12" s="262"/>
    </row>
    <row r="13" spans="1:312" s="85" customFormat="1" ht="50" customHeight="1">
      <c r="A13" s="263" t="s">
        <v>114</v>
      </c>
      <c r="B13" s="264"/>
      <c r="C13" s="86"/>
      <c r="D13" s="86"/>
      <c r="E13" s="60">
        <v>1599</v>
      </c>
      <c r="F13" s="86" t="e">
        <f t="shared" si="0"/>
        <v>#DIV/0!</v>
      </c>
      <c r="G13" s="87">
        <v>21</v>
      </c>
      <c r="H13" s="87">
        <v>21</v>
      </c>
      <c r="I13" s="87"/>
      <c r="J13" s="87" t="s">
        <v>248</v>
      </c>
      <c r="K13" s="89" t="s">
        <v>290</v>
      </c>
      <c r="L13" s="90" t="s">
        <v>335</v>
      </c>
      <c r="M13" s="94"/>
      <c r="N13" s="91" t="s">
        <v>335</v>
      </c>
      <c r="O13" s="91" t="s">
        <v>335</v>
      </c>
      <c r="P13" s="92"/>
      <c r="Q13" s="95" t="s">
        <v>689</v>
      </c>
      <c r="R13" s="95"/>
      <c r="S13" s="60">
        <v>1599</v>
      </c>
      <c r="T13" s="263">
        <f t="shared" si="1"/>
        <v>33579</v>
      </c>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c r="DS13" s="262"/>
      <c r="DT13" s="262"/>
      <c r="DU13" s="262"/>
      <c r="DV13" s="262"/>
      <c r="DW13" s="262"/>
      <c r="DX13" s="262"/>
      <c r="DY13" s="262"/>
      <c r="DZ13" s="262"/>
      <c r="EA13" s="262"/>
      <c r="EB13" s="262"/>
      <c r="EC13" s="262"/>
      <c r="ED13" s="262"/>
      <c r="EE13" s="262"/>
      <c r="EF13" s="262"/>
      <c r="EG13" s="262"/>
      <c r="EH13" s="262"/>
      <c r="EI13" s="262"/>
      <c r="EJ13" s="262"/>
      <c r="EK13" s="262"/>
      <c r="EL13" s="262"/>
      <c r="EM13" s="262"/>
      <c r="EN13" s="262"/>
      <c r="EO13" s="262"/>
      <c r="EP13" s="262"/>
      <c r="EQ13" s="262"/>
      <c r="ER13" s="262"/>
      <c r="ES13" s="262"/>
      <c r="ET13" s="262"/>
      <c r="EU13" s="262"/>
      <c r="EV13" s="262"/>
      <c r="EW13" s="262"/>
      <c r="EX13" s="262"/>
      <c r="EY13" s="262"/>
      <c r="EZ13" s="262"/>
      <c r="FA13" s="262"/>
      <c r="FB13" s="262"/>
      <c r="FC13" s="262"/>
      <c r="FD13" s="262"/>
      <c r="FE13" s="262"/>
      <c r="FF13" s="262"/>
      <c r="FG13" s="262"/>
      <c r="FH13" s="262"/>
      <c r="FI13" s="262"/>
      <c r="FJ13" s="262"/>
      <c r="FK13" s="262"/>
      <c r="FL13" s="262"/>
      <c r="FM13" s="262"/>
      <c r="FN13" s="262"/>
      <c r="FO13" s="262"/>
      <c r="FP13" s="262"/>
      <c r="FQ13" s="262"/>
      <c r="FR13" s="262"/>
      <c r="FS13" s="262"/>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U13" s="262"/>
      <c r="GV13" s="262"/>
      <c r="GW13" s="262"/>
      <c r="GX13" s="262"/>
      <c r="GY13" s="262"/>
      <c r="GZ13" s="262"/>
      <c r="HA13" s="262"/>
      <c r="HB13" s="262"/>
      <c r="HC13" s="262"/>
      <c r="HD13" s="262"/>
      <c r="HE13" s="262"/>
      <c r="HF13" s="262"/>
      <c r="HG13" s="262"/>
      <c r="HH13" s="262"/>
      <c r="HI13" s="262"/>
      <c r="HJ13" s="262"/>
      <c r="HK13" s="262"/>
      <c r="HL13" s="262"/>
      <c r="HM13" s="262"/>
      <c r="HN13" s="262"/>
      <c r="HO13" s="262"/>
      <c r="HP13" s="262"/>
      <c r="HQ13" s="262"/>
      <c r="HR13" s="262"/>
      <c r="HS13" s="262"/>
      <c r="HT13" s="262"/>
      <c r="HU13" s="262"/>
      <c r="HV13" s="262"/>
      <c r="HW13" s="262"/>
      <c r="HX13" s="262"/>
      <c r="HY13" s="262"/>
      <c r="HZ13" s="262"/>
      <c r="IA13" s="262"/>
      <c r="IB13" s="262"/>
      <c r="IC13" s="262"/>
      <c r="ID13" s="262"/>
      <c r="IE13" s="262"/>
      <c r="IF13" s="262"/>
      <c r="IG13" s="262"/>
      <c r="IH13" s="262"/>
      <c r="II13" s="262"/>
      <c r="IJ13" s="262"/>
      <c r="IK13" s="262"/>
      <c r="IL13" s="262"/>
      <c r="IM13" s="262"/>
      <c r="IN13" s="262"/>
      <c r="IO13" s="262"/>
      <c r="IP13" s="262"/>
      <c r="IQ13" s="262"/>
      <c r="IR13" s="262"/>
      <c r="IS13" s="262"/>
      <c r="IT13" s="262"/>
      <c r="IU13" s="262"/>
      <c r="IV13" s="262"/>
      <c r="IW13" s="262"/>
      <c r="IX13" s="262"/>
      <c r="IY13" s="262"/>
      <c r="IZ13" s="262"/>
      <c r="JA13" s="262"/>
      <c r="JB13" s="262"/>
      <c r="JC13" s="262"/>
      <c r="JD13" s="262"/>
      <c r="JE13" s="262"/>
      <c r="JF13" s="262"/>
      <c r="JG13" s="262"/>
      <c r="JH13" s="262"/>
      <c r="JI13" s="262"/>
      <c r="JJ13" s="262"/>
      <c r="JK13" s="262"/>
      <c r="JL13" s="262"/>
      <c r="JM13" s="262"/>
      <c r="JN13" s="262"/>
      <c r="JO13" s="262"/>
      <c r="JP13" s="262"/>
      <c r="JQ13" s="262"/>
      <c r="JR13" s="262"/>
      <c r="JS13" s="262"/>
      <c r="JT13" s="262"/>
      <c r="JU13" s="262"/>
      <c r="JV13" s="262"/>
      <c r="JW13" s="262"/>
      <c r="JX13" s="262"/>
      <c r="JY13" s="262"/>
      <c r="JZ13" s="262"/>
      <c r="KA13" s="262"/>
      <c r="KB13" s="262"/>
      <c r="KC13" s="262"/>
      <c r="KD13" s="262"/>
      <c r="KE13" s="262"/>
      <c r="KF13" s="262"/>
      <c r="KG13" s="262"/>
      <c r="KH13" s="262"/>
      <c r="KI13" s="262"/>
      <c r="KJ13" s="262"/>
      <c r="KK13" s="262"/>
      <c r="KL13" s="262"/>
      <c r="KM13" s="262"/>
      <c r="KN13" s="262"/>
      <c r="KO13" s="262"/>
      <c r="KP13" s="262"/>
      <c r="KQ13" s="262"/>
      <c r="KR13" s="262"/>
      <c r="KS13" s="262"/>
      <c r="KT13" s="262"/>
      <c r="KU13" s="262"/>
      <c r="KV13" s="262"/>
      <c r="KW13" s="262"/>
      <c r="KX13" s="262"/>
      <c r="KY13" s="262"/>
      <c r="KZ13" s="262"/>
    </row>
    <row r="14" spans="1:312" s="85" customFormat="1" ht="50" customHeight="1">
      <c r="A14" s="263" t="s">
        <v>144</v>
      </c>
      <c r="B14" s="264">
        <v>47044</v>
      </c>
      <c r="C14" s="86">
        <v>15970</v>
      </c>
      <c r="D14" s="86">
        <v>878</v>
      </c>
      <c r="E14" s="60">
        <v>1715</v>
      </c>
      <c r="F14" s="86">
        <f t="shared" si="0"/>
        <v>18.189066059225514</v>
      </c>
      <c r="G14" s="87">
        <v>19</v>
      </c>
      <c r="H14" s="87">
        <v>19</v>
      </c>
      <c r="I14" s="87"/>
      <c r="J14" s="87" t="s">
        <v>204</v>
      </c>
      <c r="K14" s="89" t="s">
        <v>378</v>
      </c>
      <c r="L14" s="90" t="s">
        <v>335</v>
      </c>
      <c r="M14" s="90" t="s">
        <v>689</v>
      </c>
      <c r="N14" s="91" t="s">
        <v>335</v>
      </c>
      <c r="O14" s="91" t="s">
        <v>335</v>
      </c>
      <c r="P14" s="92"/>
      <c r="Q14" s="95" t="s">
        <v>689</v>
      </c>
      <c r="R14" s="95" t="s">
        <v>689</v>
      </c>
      <c r="S14" s="60">
        <v>1715</v>
      </c>
      <c r="T14" s="263">
        <f t="shared" si="1"/>
        <v>32585</v>
      </c>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2"/>
      <c r="CV14" s="262"/>
      <c r="CW14" s="262"/>
      <c r="CX14" s="262"/>
      <c r="CY14" s="262"/>
      <c r="CZ14" s="262"/>
      <c r="DA14" s="262"/>
      <c r="DB14" s="262"/>
      <c r="DC14" s="262"/>
      <c r="DD14" s="262"/>
      <c r="DE14" s="262"/>
      <c r="DF14" s="262"/>
      <c r="DG14" s="262"/>
      <c r="DH14" s="262"/>
      <c r="DI14" s="262"/>
      <c r="DJ14" s="262"/>
      <c r="DK14" s="262"/>
      <c r="DL14" s="262"/>
      <c r="DM14" s="262"/>
      <c r="DN14" s="262"/>
      <c r="DO14" s="262"/>
      <c r="DP14" s="262"/>
      <c r="DQ14" s="262"/>
      <c r="DR14" s="262"/>
      <c r="DS14" s="262"/>
      <c r="DT14" s="262"/>
      <c r="DU14" s="262"/>
      <c r="DV14" s="262"/>
      <c r="DW14" s="262"/>
      <c r="DX14" s="262"/>
      <c r="DY14" s="262"/>
      <c r="DZ14" s="262"/>
      <c r="EA14" s="262"/>
      <c r="EB14" s="262"/>
      <c r="EC14" s="262"/>
      <c r="ED14" s="262"/>
      <c r="EE14" s="262"/>
      <c r="EF14" s="262"/>
      <c r="EG14" s="262"/>
      <c r="EH14" s="262"/>
      <c r="EI14" s="262"/>
      <c r="EJ14" s="262"/>
      <c r="EK14" s="262"/>
      <c r="EL14" s="262"/>
      <c r="EM14" s="262"/>
      <c r="EN14" s="262"/>
      <c r="EO14" s="262"/>
      <c r="EP14" s="262"/>
      <c r="EQ14" s="262"/>
      <c r="ER14" s="262"/>
      <c r="ES14" s="262"/>
      <c r="ET14" s="262"/>
      <c r="EU14" s="262"/>
      <c r="EV14" s="262"/>
      <c r="EW14" s="262"/>
      <c r="EX14" s="262"/>
      <c r="EY14" s="262"/>
      <c r="EZ14" s="262"/>
      <c r="FA14" s="262"/>
      <c r="FB14" s="262"/>
      <c r="FC14" s="262"/>
      <c r="FD14" s="262"/>
      <c r="FE14" s="262"/>
      <c r="FF14" s="262"/>
      <c r="FG14" s="262"/>
      <c r="FH14" s="262"/>
      <c r="FI14" s="262"/>
      <c r="FJ14" s="262"/>
      <c r="FK14" s="262"/>
      <c r="FL14" s="262"/>
      <c r="FM14" s="262"/>
      <c r="FN14" s="262"/>
      <c r="FO14" s="262"/>
      <c r="FP14" s="262"/>
      <c r="FQ14" s="262"/>
      <c r="FR14" s="262"/>
      <c r="FS14" s="262"/>
      <c r="FT14" s="262"/>
      <c r="FU14" s="262"/>
      <c r="FV14" s="262"/>
      <c r="FW14" s="262"/>
      <c r="FX14" s="262"/>
      <c r="FY14" s="262"/>
      <c r="FZ14" s="262"/>
      <c r="GA14" s="262"/>
      <c r="GB14" s="262"/>
      <c r="GC14" s="262"/>
      <c r="GD14" s="262"/>
      <c r="GE14" s="262"/>
      <c r="GF14" s="262"/>
      <c r="GG14" s="262"/>
      <c r="GH14" s="262"/>
      <c r="GI14" s="262"/>
      <c r="GJ14" s="262"/>
      <c r="GK14" s="262"/>
      <c r="GL14" s="262"/>
      <c r="GM14" s="262"/>
      <c r="GN14" s="262"/>
      <c r="GO14" s="262"/>
      <c r="GP14" s="262"/>
      <c r="GQ14" s="262"/>
      <c r="GR14" s="262"/>
      <c r="GS14" s="262"/>
      <c r="GT14" s="262"/>
      <c r="GU14" s="262"/>
      <c r="GV14" s="262"/>
      <c r="GW14" s="262"/>
      <c r="GX14" s="262"/>
      <c r="GY14" s="262"/>
      <c r="GZ14" s="262"/>
      <c r="HA14" s="262"/>
      <c r="HB14" s="262"/>
      <c r="HC14" s="262"/>
      <c r="HD14" s="262"/>
      <c r="HE14" s="262"/>
      <c r="HF14" s="262"/>
      <c r="HG14" s="262"/>
      <c r="HH14" s="262"/>
      <c r="HI14" s="262"/>
      <c r="HJ14" s="262"/>
      <c r="HK14" s="262"/>
      <c r="HL14" s="262"/>
      <c r="HM14" s="262"/>
      <c r="HN14" s="262"/>
      <c r="HO14" s="262"/>
      <c r="HP14" s="262"/>
      <c r="HQ14" s="262"/>
      <c r="HR14" s="262"/>
      <c r="HS14" s="262"/>
      <c r="HT14" s="262"/>
      <c r="HU14" s="262"/>
      <c r="HV14" s="262"/>
      <c r="HW14" s="262"/>
      <c r="HX14" s="262"/>
      <c r="HY14" s="262"/>
      <c r="HZ14" s="262"/>
      <c r="IA14" s="262"/>
      <c r="IB14" s="262"/>
      <c r="IC14" s="262"/>
      <c r="ID14" s="262"/>
      <c r="IE14" s="262"/>
      <c r="IF14" s="262"/>
      <c r="IG14" s="262"/>
      <c r="IH14" s="262"/>
      <c r="II14" s="262"/>
      <c r="IJ14" s="262"/>
      <c r="IK14" s="262"/>
      <c r="IL14" s="262"/>
      <c r="IM14" s="262"/>
      <c r="IN14" s="262"/>
      <c r="IO14" s="262"/>
      <c r="IP14" s="262"/>
      <c r="IQ14" s="262"/>
      <c r="IR14" s="262"/>
      <c r="IS14" s="262"/>
      <c r="IT14" s="262"/>
      <c r="IU14" s="262"/>
      <c r="IV14" s="262"/>
      <c r="IW14" s="262"/>
      <c r="IX14" s="262"/>
      <c r="IY14" s="262"/>
      <c r="IZ14" s="262"/>
      <c r="JA14" s="262"/>
      <c r="JB14" s="262"/>
      <c r="JC14" s="262"/>
      <c r="JD14" s="262"/>
      <c r="JE14" s="262"/>
      <c r="JF14" s="262"/>
      <c r="JG14" s="262"/>
      <c r="JH14" s="262"/>
      <c r="JI14" s="262"/>
      <c r="JJ14" s="262"/>
      <c r="JK14" s="262"/>
      <c r="JL14" s="262"/>
      <c r="JM14" s="262"/>
      <c r="JN14" s="262"/>
      <c r="JO14" s="262"/>
      <c r="JP14" s="262"/>
      <c r="JQ14" s="262"/>
      <c r="JR14" s="262"/>
      <c r="JS14" s="262"/>
      <c r="JT14" s="262"/>
      <c r="JU14" s="262"/>
      <c r="JV14" s="262"/>
      <c r="JW14" s="262"/>
      <c r="JX14" s="262"/>
      <c r="JY14" s="262"/>
      <c r="JZ14" s="262"/>
      <c r="KA14" s="262"/>
      <c r="KB14" s="262"/>
      <c r="KC14" s="262"/>
      <c r="KD14" s="262"/>
      <c r="KE14" s="262"/>
      <c r="KF14" s="262"/>
      <c r="KG14" s="262"/>
      <c r="KH14" s="262"/>
      <c r="KI14" s="262"/>
      <c r="KJ14" s="262"/>
      <c r="KK14" s="262"/>
      <c r="KL14" s="262"/>
      <c r="KM14" s="262"/>
      <c r="KN14" s="262"/>
      <c r="KO14" s="262"/>
      <c r="KP14" s="262"/>
      <c r="KQ14" s="262"/>
      <c r="KR14" s="262"/>
      <c r="KS14" s="262"/>
      <c r="KT14" s="262"/>
      <c r="KU14" s="262"/>
      <c r="KV14" s="262"/>
      <c r="KW14" s="262"/>
      <c r="KX14" s="262"/>
      <c r="KY14" s="262"/>
      <c r="KZ14" s="262"/>
    </row>
    <row r="15" spans="1:312" s="96" customFormat="1" ht="50" customHeight="1">
      <c r="A15" s="263" t="s">
        <v>428</v>
      </c>
      <c r="B15" s="264"/>
      <c r="C15" s="86"/>
      <c r="D15" s="86"/>
      <c r="E15" s="60">
        <v>68</v>
      </c>
      <c r="F15" s="86" t="e">
        <f t="shared" si="0"/>
        <v>#DIV/0!</v>
      </c>
      <c r="G15" s="87">
        <v>19</v>
      </c>
      <c r="H15" s="87">
        <v>19</v>
      </c>
      <c r="I15" s="87"/>
      <c r="J15" s="88" t="s">
        <v>367</v>
      </c>
      <c r="K15" s="89" t="s">
        <v>429</v>
      </c>
      <c r="L15" s="94"/>
      <c r="M15" s="94"/>
      <c r="N15" s="91"/>
      <c r="O15" s="91" t="s">
        <v>335</v>
      </c>
      <c r="P15" s="92"/>
      <c r="Q15" s="93" t="s">
        <v>689</v>
      </c>
      <c r="R15" s="93" t="s">
        <v>689</v>
      </c>
      <c r="S15" s="60">
        <v>68</v>
      </c>
      <c r="T15" s="263">
        <f t="shared" si="1"/>
        <v>1292</v>
      </c>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c r="CY15" s="262"/>
      <c r="CZ15" s="262"/>
      <c r="DA15" s="262"/>
      <c r="DB15" s="262"/>
      <c r="DC15" s="262"/>
      <c r="DD15" s="262"/>
      <c r="DE15" s="262"/>
      <c r="DF15" s="262"/>
      <c r="DG15" s="262"/>
      <c r="DH15" s="262"/>
      <c r="DI15" s="262"/>
      <c r="DJ15" s="262"/>
      <c r="DK15" s="262"/>
      <c r="DL15" s="262"/>
      <c r="DM15" s="262"/>
      <c r="DN15" s="262"/>
      <c r="DO15" s="262"/>
      <c r="DP15" s="262"/>
      <c r="DQ15" s="262"/>
      <c r="DR15" s="262"/>
      <c r="DS15" s="262"/>
      <c r="DT15" s="262"/>
      <c r="DU15" s="262"/>
      <c r="DV15" s="262"/>
      <c r="DW15" s="262"/>
      <c r="DX15" s="262"/>
      <c r="DY15" s="262"/>
      <c r="DZ15" s="262"/>
      <c r="EA15" s="262"/>
      <c r="EB15" s="262"/>
      <c r="EC15" s="262"/>
      <c r="ED15" s="262"/>
      <c r="EE15" s="262"/>
      <c r="EF15" s="262"/>
      <c r="EG15" s="262"/>
      <c r="EH15" s="262"/>
      <c r="EI15" s="262"/>
      <c r="EJ15" s="262"/>
      <c r="EK15" s="262"/>
      <c r="EL15" s="262"/>
      <c r="EM15" s="262"/>
      <c r="EN15" s="262"/>
      <c r="EO15" s="262"/>
      <c r="EP15" s="262"/>
      <c r="EQ15" s="262"/>
      <c r="ER15" s="262"/>
      <c r="ES15" s="262"/>
      <c r="ET15" s="262"/>
      <c r="EU15" s="262"/>
      <c r="EV15" s="262"/>
      <c r="EW15" s="262"/>
      <c r="EX15" s="262"/>
      <c r="EY15" s="262"/>
      <c r="EZ15" s="262"/>
      <c r="FA15" s="262"/>
      <c r="FB15" s="262"/>
      <c r="FC15" s="262"/>
      <c r="FD15" s="262"/>
      <c r="FE15" s="262"/>
      <c r="FF15" s="262"/>
      <c r="FG15" s="262"/>
      <c r="FH15" s="262"/>
      <c r="FI15" s="262"/>
      <c r="FJ15" s="262"/>
      <c r="FK15" s="262"/>
      <c r="FL15" s="262"/>
      <c r="FM15" s="262"/>
      <c r="FN15" s="262"/>
      <c r="FO15" s="262"/>
      <c r="FP15" s="262"/>
      <c r="FQ15" s="262"/>
      <c r="FR15" s="262"/>
      <c r="FS15" s="262"/>
      <c r="FT15" s="262"/>
      <c r="FU15" s="262"/>
      <c r="FV15" s="262"/>
      <c r="FW15" s="262"/>
      <c r="FX15" s="262"/>
      <c r="FY15" s="262"/>
      <c r="FZ15" s="262"/>
      <c r="GA15" s="262"/>
      <c r="GB15" s="262"/>
      <c r="GC15" s="262"/>
      <c r="GD15" s="262"/>
      <c r="GE15" s="262"/>
      <c r="GF15" s="262"/>
      <c r="GG15" s="262"/>
      <c r="GH15" s="262"/>
      <c r="GI15" s="262"/>
      <c r="GJ15" s="262"/>
      <c r="GK15" s="262"/>
      <c r="GL15" s="262"/>
      <c r="GM15" s="262"/>
      <c r="GN15" s="262"/>
      <c r="GO15" s="262"/>
      <c r="GP15" s="262"/>
      <c r="GQ15" s="262"/>
      <c r="GR15" s="262"/>
      <c r="GS15" s="262"/>
      <c r="GT15" s="262"/>
      <c r="GU15" s="262"/>
      <c r="GV15" s="262"/>
      <c r="GW15" s="262"/>
      <c r="GX15" s="262"/>
      <c r="GY15" s="262"/>
      <c r="GZ15" s="262"/>
      <c r="HA15" s="262"/>
      <c r="HB15" s="262"/>
      <c r="HC15" s="262"/>
      <c r="HD15" s="262"/>
      <c r="HE15" s="262"/>
      <c r="HF15" s="262"/>
      <c r="HG15" s="262"/>
      <c r="HH15" s="262"/>
      <c r="HI15" s="262"/>
      <c r="HJ15" s="262"/>
      <c r="HK15" s="262"/>
      <c r="HL15" s="262"/>
      <c r="HM15" s="262"/>
      <c r="HN15" s="262"/>
      <c r="HO15" s="262"/>
      <c r="HP15" s="262"/>
      <c r="HQ15" s="262"/>
      <c r="HR15" s="262"/>
      <c r="HS15" s="262"/>
      <c r="HT15" s="262"/>
      <c r="HU15" s="262"/>
      <c r="HV15" s="262"/>
      <c r="HW15" s="262"/>
      <c r="HX15" s="262"/>
      <c r="HY15" s="262"/>
      <c r="HZ15" s="262"/>
      <c r="IA15" s="262"/>
      <c r="IB15" s="262"/>
      <c r="IC15" s="262"/>
      <c r="ID15" s="262"/>
      <c r="IE15" s="262"/>
      <c r="IF15" s="262"/>
      <c r="IG15" s="262"/>
      <c r="IH15" s="262"/>
      <c r="II15" s="262"/>
      <c r="IJ15" s="262"/>
      <c r="IK15" s="262"/>
      <c r="IL15" s="262"/>
      <c r="IM15" s="262"/>
      <c r="IN15" s="262"/>
      <c r="IO15" s="262"/>
      <c r="IP15" s="262"/>
      <c r="IQ15" s="262"/>
      <c r="IR15" s="262"/>
      <c r="IS15" s="262"/>
      <c r="IT15" s="262"/>
      <c r="IU15" s="262"/>
      <c r="IV15" s="262"/>
      <c r="IW15" s="262"/>
      <c r="IX15" s="262"/>
      <c r="IY15" s="262"/>
      <c r="IZ15" s="262"/>
      <c r="JA15" s="262"/>
      <c r="JB15" s="262"/>
      <c r="JC15" s="262"/>
      <c r="JD15" s="262"/>
      <c r="JE15" s="262"/>
      <c r="JF15" s="262"/>
      <c r="JG15" s="262"/>
      <c r="JH15" s="262"/>
      <c r="JI15" s="262"/>
      <c r="JJ15" s="262"/>
      <c r="JK15" s="262"/>
      <c r="JL15" s="262"/>
      <c r="JM15" s="262"/>
      <c r="JN15" s="262"/>
      <c r="JO15" s="262"/>
      <c r="JP15" s="262"/>
      <c r="JQ15" s="262"/>
      <c r="JR15" s="262"/>
      <c r="JS15" s="262"/>
      <c r="JT15" s="262"/>
      <c r="JU15" s="262"/>
      <c r="JV15" s="262"/>
      <c r="JW15" s="262"/>
      <c r="JX15" s="262"/>
      <c r="JY15" s="262"/>
      <c r="JZ15" s="262"/>
      <c r="KA15" s="262"/>
      <c r="KB15" s="262"/>
      <c r="KC15" s="262"/>
      <c r="KD15" s="262"/>
      <c r="KE15" s="262"/>
      <c r="KF15" s="262"/>
      <c r="KG15" s="262"/>
      <c r="KH15" s="262"/>
      <c r="KI15" s="262"/>
      <c r="KJ15" s="262"/>
      <c r="KK15" s="262"/>
      <c r="KL15" s="262"/>
      <c r="KM15" s="262"/>
      <c r="KN15" s="262"/>
      <c r="KO15" s="262"/>
      <c r="KP15" s="262"/>
      <c r="KQ15" s="262"/>
      <c r="KR15" s="262"/>
      <c r="KS15" s="262"/>
      <c r="KT15" s="262"/>
      <c r="KU15" s="262"/>
      <c r="KV15" s="262"/>
      <c r="KW15" s="262"/>
      <c r="KX15" s="262"/>
      <c r="KY15" s="262"/>
      <c r="KZ15" s="262"/>
    </row>
    <row r="16" spans="1:312" s="96" customFormat="1" ht="50" customHeight="1">
      <c r="A16" s="263" t="s">
        <v>186</v>
      </c>
      <c r="B16" s="264"/>
      <c r="C16" s="86"/>
      <c r="D16" s="86"/>
      <c r="E16" s="60">
        <v>1599</v>
      </c>
      <c r="F16" s="86" t="e">
        <f t="shared" si="0"/>
        <v>#DIV/0!</v>
      </c>
      <c r="G16" s="87">
        <v>18</v>
      </c>
      <c r="H16" s="87">
        <v>18</v>
      </c>
      <c r="I16" s="264"/>
      <c r="J16" s="264" t="s">
        <v>204</v>
      </c>
      <c r="K16" s="265" t="s">
        <v>510</v>
      </c>
      <c r="L16" s="97" t="s">
        <v>335</v>
      </c>
      <c r="M16" s="98"/>
      <c r="N16" s="99" t="s">
        <v>335</v>
      </c>
      <c r="O16" s="99" t="s">
        <v>335</v>
      </c>
      <c r="P16" s="266"/>
      <c r="Q16" s="93" t="s">
        <v>689</v>
      </c>
      <c r="R16" s="93"/>
      <c r="S16" s="60">
        <v>1599</v>
      </c>
      <c r="T16" s="263">
        <f t="shared" si="1"/>
        <v>28782</v>
      </c>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c r="DA16" s="262"/>
      <c r="DB16" s="262"/>
      <c r="DC16" s="262"/>
      <c r="DD16" s="262"/>
      <c r="DE16" s="262"/>
      <c r="DF16" s="262"/>
      <c r="DG16" s="262"/>
      <c r="DH16" s="262"/>
      <c r="DI16" s="262"/>
      <c r="DJ16" s="262"/>
      <c r="DK16" s="262"/>
      <c r="DL16" s="262"/>
      <c r="DM16" s="262"/>
      <c r="DN16" s="262"/>
      <c r="DO16" s="262"/>
      <c r="DP16" s="262"/>
      <c r="DQ16" s="262"/>
      <c r="DR16" s="262"/>
      <c r="DS16" s="262"/>
      <c r="DT16" s="262"/>
      <c r="DU16" s="262"/>
      <c r="DV16" s="262"/>
      <c r="DW16" s="262"/>
      <c r="DX16" s="262"/>
      <c r="DY16" s="262"/>
      <c r="DZ16" s="262"/>
      <c r="EA16" s="262"/>
      <c r="EB16" s="262"/>
      <c r="EC16" s="262"/>
      <c r="ED16" s="262"/>
      <c r="EE16" s="262"/>
      <c r="EF16" s="262"/>
      <c r="EG16" s="262"/>
      <c r="EH16" s="262"/>
      <c r="EI16" s="262"/>
      <c r="EJ16" s="262"/>
      <c r="EK16" s="262"/>
      <c r="EL16" s="262"/>
      <c r="EM16" s="262"/>
      <c r="EN16" s="262"/>
      <c r="EO16" s="262"/>
      <c r="EP16" s="262"/>
      <c r="EQ16" s="262"/>
      <c r="ER16" s="262"/>
      <c r="ES16" s="262"/>
      <c r="ET16" s="262"/>
      <c r="EU16" s="262"/>
      <c r="EV16" s="262"/>
      <c r="EW16" s="262"/>
      <c r="EX16" s="262"/>
      <c r="EY16" s="262"/>
      <c r="EZ16" s="262"/>
      <c r="FA16" s="262"/>
      <c r="FB16" s="262"/>
      <c r="FC16" s="262"/>
      <c r="FD16" s="262"/>
      <c r="FE16" s="262"/>
      <c r="FF16" s="262"/>
      <c r="FG16" s="262"/>
      <c r="FH16" s="262"/>
      <c r="FI16" s="262"/>
      <c r="FJ16" s="262"/>
      <c r="FK16" s="262"/>
      <c r="FL16" s="262"/>
      <c r="FM16" s="262"/>
      <c r="FN16" s="262"/>
      <c r="FO16" s="262"/>
      <c r="FP16" s="262"/>
      <c r="FQ16" s="262"/>
      <c r="FR16" s="262"/>
      <c r="FS16" s="262"/>
      <c r="FT16" s="262"/>
      <c r="FU16" s="262"/>
      <c r="FV16" s="262"/>
      <c r="FW16" s="262"/>
      <c r="FX16" s="262"/>
      <c r="FY16" s="262"/>
      <c r="FZ16" s="262"/>
      <c r="GA16" s="262"/>
      <c r="GB16" s="262"/>
      <c r="GC16" s="262"/>
      <c r="GD16" s="262"/>
      <c r="GE16" s="262"/>
      <c r="GF16" s="262"/>
      <c r="GG16" s="262"/>
      <c r="GH16" s="262"/>
      <c r="GI16" s="262"/>
      <c r="GJ16" s="262"/>
      <c r="GK16" s="262"/>
      <c r="GL16" s="262"/>
      <c r="GM16" s="262"/>
      <c r="GN16" s="262"/>
      <c r="GO16" s="262"/>
      <c r="GP16" s="262"/>
      <c r="GQ16" s="262"/>
      <c r="GR16" s="262"/>
      <c r="GS16" s="262"/>
      <c r="GT16" s="262"/>
      <c r="GU16" s="262"/>
      <c r="GV16" s="262"/>
      <c r="GW16" s="262"/>
      <c r="GX16" s="262"/>
      <c r="GY16" s="262"/>
      <c r="GZ16" s="262"/>
      <c r="HA16" s="262"/>
      <c r="HB16" s="262"/>
      <c r="HC16" s="262"/>
      <c r="HD16" s="262"/>
      <c r="HE16" s="262"/>
      <c r="HF16" s="262"/>
      <c r="HG16" s="262"/>
      <c r="HH16" s="262"/>
      <c r="HI16" s="262"/>
      <c r="HJ16" s="262"/>
      <c r="HK16" s="262"/>
      <c r="HL16" s="262"/>
      <c r="HM16" s="262"/>
      <c r="HN16" s="262"/>
      <c r="HO16" s="262"/>
      <c r="HP16" s="262"/>
      <c r="HQ16" s="262"/>
      <c r="HR16" s="262"/>
      <c r="HS16" s="262"/>
      <c r="HT16" s="262"/>
      <c r="HU16" s="262"/>
      <c r="HV16" s="262"/>
      <c r="HW16" s="262"/>
      <c r="HX16" s="262"/>
      <c r="HY16" s="262"/>
      <c r="HZ16" s="262"/>
      <c r="IA16" s="262"/>
      <c r="IB16" s="262"/>
      <c r="IC16" s="262"/>
      <c r="ID16" s="262"/>
      <c r="IE16" s="262"/>
      <c r="IF16" s="262"/>
      <c r="IG16" s="262"/>
      <c r="IH16" s="262"/>
      <c r="II16" s="262"/>
      <c r="IJ16" s="262"/>
      <c r="IK16" s="262"/>
      <c r="IL16" s="262"/>
      <c r="IM16" s="262"/>
      <c r="IN16" s="262"/>
      <c r="IO16" s="262"/>
      <c r="IP16" s="262"/>
      <c r="IQ16" s="262"/>
      <c r="IR16" s="262"/>
      <c r="IS16" s="262"/>
      <c r="IT16" s="262"/>
      <c r="IU16" s="262"/>
      <c r="IV16" s="262"/>
      <c r="IW16" s="262"/>
      <c r="IX16" s="262"/>
      <c r="IY16" s="262"/>
      <c r="IZ16" s="262"/>
      <c r="JA16" s="262"/>
      <c r="JB16" s="262"/>
      <c r="JC16" s="262"/>
      <c r="JD16" s="262"/>
      <c r="JE16" s="262"/>
      <c r="JF16" s="262"/>
      <c r="JG16" s="262"/>
      <c r="JH16" s="262"/>
      <c r="JI16" s="262"/>
      <c r="JJ16" s="262"/>
      <c r="JK16" s="262"/>
      <c r="JL16" s="262"/>
      <c r="JM16" s="262"/>
      <c r="JN16" s="262"/>
      <c r="JO16" s="262"/>
      <c r="JP16" s="262"/>
      <c r="JQ16" s="262"/>
      <c r="JR16" s="262"/>
      <c r="JS16" s="262"/>
      <c r="JT16" s="262"/>
      <c r="JU16" s="262"/>
      <c r="JV16" s="262"/>
      <c r="JW16" s="262"/>
      <c r="JX16" s="262"/>
      <c r="JY16" s="262"/>
      <c r="JZ16" s="262"/>
      <c r="KA16" s="262"/>
      <c r="KB16" s="262"/>
      <c r="KC16" s="262"/>
      <c r="KD16" s="262"/>
      <c r="KE16" s="262"/>
      <c r="KF16" s="262"/>
      <c r="KG16" s="262"/>
      <c r="KH16" s="262"/>
      <c r="KI16" s="262"/>
      <c r="KJ16" s="262"/>
      <c r="KK16" s="262"/>
      <c r="KL16" s="262"/>
      <c r="KM16" s="262"/>
      <c r="KN16" s="262"/>
      <c r="KO16" s="262"/>
      <c r="KP16" s="262"/>
      <c r="KQ16" s="262"/>
      <c r="KR16" s="262"/>
      <c r="KS16" s="262"/>
      <c r="KT16" s="262"/>
      <c r="KU16" s="262"/>
      <c r="KV16" s="262"/>
      <c r="KW16" s="262"/>
      <c r="KX16" s="262"/>
      <c r="KY16" s="262"/>
      <c r="KZ16" s="262"/>
    </row>
    <row r="17" spans="1:312" s="85" customFormat="1" ht="50" customHeight="1">
      <c r="A17" s="263" t="s">
        <v>83</v>
      </c>
      <c r="B17" s="264"/>
      <c r="C17" s="86"/>
      <c r="D17" s="86"/>
      <c r="E17" s="60">
        <v>1599</v>
      </c>
      <c r="F17" s="86" t="e">
        <f t="shared" si="0"/>
        <v>#DIV/0!</v>
      </c>
      <c r="G17" s="87">
        <v>18</v>
      </c>
      <c r="H17" s="87">
        <v>18</v>
      </c>
      <c r="I17" s="87"/>
      <c r="J17" s="87" t="s">
        <v>217</v>
      </c>
      <c r="K17" s="89" t="s">
        <v>216</v>
      </c>
      <c r="L17" s="90" t="s">
        <v>335</v>
      </c>
      <c r="M17" s="94"/>
      <c r="N17" s="91" t="s">
        <v>335</v>
      </c>
      <c r="O17" s="91" t="s">
        <v>335</v>
      </c>
      <c r="P17" s="92"/>
      <c r="Q17" s="93" t="s">
        <v>689</v>
      </c>
      <c r="R17" s="95"/>
      <c r="S17" s="60">
        <v>1599</v>
      </c>
      <c r="T17" s="263">
        <f t="shared" si="1"/>
        <v>28782</v>
      </c>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row>
    <row r="18" spans="1:312" s="85" customFormat="1" ht="50" customHeight="1">
      <c r="A18" s="263" t="s">
        <v>135</v>
      </c>
      <c r="B18" s="264"/>
      <c r="C18" s="86"/>
      <c r="D18" s="86"/>
      <c r="E18" s="60">
        <v>1599</v>
      </c>
      <c r="F18" s="86" t="e">
        <f t="shared" si="0"/>
        <v>#DIV/0!</v>
      </c>
      <c r="G18" s="87">
        <v>16</v>
      </c>
      <c r="H18" s="87">
        <v>16</v>
      </c>
      <c r="I18" s="87"/>
      <c r="J18" s="87" t="s">
        <v>204</v>
      </c>
      <c r="K18" s="89" t="s">
        <v>351</v>
      </c>
      <c r="L18" s="90" t="s">
        <v>335</v>
      </c>
      <c r="M18" s="94"/>
      <c r="N18" s="91" t="s">
        <v>335</v>
      </c>
      <c r="O18" s="91" t="s">
        <v>335</v>
      </c>
      <c r="P18" s="92"/>
      <c r="Q18" s="95" t="s">
        <v>689</v>
      </c>
      <c r="R18" s="95"/>
      <c r="S18" s="60">
        <v>1599</v>
      </c>
      <c r="T18" s="263">
        <f t="shared" si="1"/>
        <v>25584</v>
      </c>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c r="DS18" s="262"/>
      <c r="DT18" s="262"/>
      <c r="DU18" s="262"/>
      <c r="DV18" s="262"/>
      <c r="DW18" s="262"/>
      <c r="DX18" s="262"/>
      <c r="DY18" s="262"/>
      <c r="DZ18" s="262"/>
      <c r="EA18" s="262"/>
      <c r="EB18" s="262"/>
      <c r="EC18" s="262"/>
      <c r="ED18" s="262"/>
      <c r="EE18" s="262"/>
      <c r="EF18" s="262"/>
      <c r="EG18" s="262"/>
      <c r="EH18" s="262"/>
      <c r="EI18" s="262"/>
      <c r="EJ18" s="262"/>
      <c r="EK18" s="262"/>
      <c r="EL18" s="262"/>
      <c r="EM18" s="262"/>
      <c r="EN18" s="262"/>
      <c r="EO18" s="262"/>
      <c r="EP18" s="262"/>
      <c r="EQ18" s="262"/>
      <c r="ER18" s="262"/>
      <c r="ES18" s="262"/>
      <c r="ET18" s="262"/>
      <c r="EU18" s="262"/>
      <c r="EV18" s="262"/>
      <c r="EW18" s="262"/>
      <c r="EX18" s="262"/>
      <c r="EY18" s="262"/>
      <c r="EZ18" s="262"/>
      <c r="FA18" s="262"/>
      <c r="FB18" s="262"/>
      <c r="FC18" s="262"/>
      <c r="FD18" s="262"/>
      <c r="FE18" s="262"/>
      <c r="FF18" s="262"/>
      <c r="FG18" s="262"/>
      <c r="FH18" s="262"/>
      <c r="FI18" s="262"/>
      <c r="FJ18" s="262"/>
      <c r="FK18" s="262"/>
      <c r="FL18" s="262"/>
      <c r="FM18" s="262"/>
      <c r="FN18" s="262"/>
      <c r="FO18" s="262"/>
      <c r="FP18" s="262"/>
      <c r="FQ18" s="262"/>
      <c r="FR18" s="262"/>
      <c r="FS18" s="262"/>
      <c r="FT18" s="262"/>
      <c r="FU18" s="262"/>
      <c r="FV18" s="262"/>
      <c r="FW18" s="262"/>
      <c r="FX18" s="262"/>
      <c r="FY18" s="262"/>
      <c r="FZ18" s="262"/>
      <c r="GA18" s="262"/>
      <c r="GB18" s="262"/>
      <c r="GC18" s="262"/>
      <c r="GD18" s="262"/>
      <c r="GE18" s="262"/>
      <c r="GF18" s="262"/>
      <c r="GG18" s="262"/>
      <c r="GH18" s="262"/>
      <c r="GI18" s="262"/>
      <c r="GJ18" s="262"/>
      <c r="GK18" s="262"/>
      <c r="GL18" s="262"/>
      <c r="GM18" s="262"/>
      <c r="GN18" s="262"/>
      <c r="GO18" s="262"/>
      <c r="GP18" s="262"/>
      <c r="GQ18" s="262"/>
      <c r="GR18" s="262"/>
      <c r="GS18" s="262"/>
      <c r="GT18" s="262"/>
      <c r="GU18" s="262"/>
      <c r="GV18" s="262"/>
      <c r="GW18" s="262"/>
      <c r="GX18" s="262"/>
      <c r="GY18" s="262"/>
      <c r="GZ18" s="262"/>
      <c r="HA18" s="262"/>
      <c r="HB18" s="262"/>
      <c r="HC18" s="262"/>
      <c r="HD18" s="262"/>
      <c r="HE18" s="262"/>
      <c r="HF18" s="262"/>
      <c r="HG18" s="262"/>
      <c r="HH18" s="262"/>
      <c r="HI18" s="262"/>
      <c r="HJ18" s="262"/>
      <c r="HK18" s="262"/>
      <c r="HL18" s="262"/>
      <c r="HM18" s="262"/>
      <c r="HN18" s="262"/>
      <c r="HO18" s="262"/>
      <c r="HP18" s="262"/>
      <c r="HQ18" s="262"/>
      <c r="HR18" s="262"/>
      <c r="HS18" s="262"/>
      <c r="HT18" s="262"/>
      <c r="HU18" s="262"/>
      <c r="HV18" s="262"/>
      <c r="HW18" s="262"/>
      <c r="HX18" s="262"/>
      <c r="HY18" s="262"/>
      <c r="HZ18" s="262"/>
      <c r="IA18" s="262"/>
      <c r="IB18" s="262"/>
      <c r="IC18" s="262"/>
      <c r="ID18" s="262"/>
      <c r="IE18" s="262"/>
      <c r="IF18" s="262"/>
      <c r="IG18" s="262"/>
      <c r="IH18" s="262"/>
      <c r="II18" s="262"/>
      <c r="IJ18" s="262"/>
      <c r="IK18" s="262"/>
      <c r="IL18" s="262"/>
      <c r="IM18" s="262"/>
      <c r="IN18" s="262"/>
      <c r="IO18" s="262"/>
      <c r="IP18" s="262"/>
      <c r="IQ18" s="262"/>
      <c r="IR18" s="262"/>
      <c r="IS18" s="262"/>
      <c r="IT18" s="262"/>
      <c r="IU18" s="262"/>
      <c r="IV18" s="262"/>
      <c r="IW18" s="262"/>
      <c r="IX18" s="262"/>
      <c r="IY18" s="262"/>
      <c r="IZ18" s="262"/>
      <c r="JA18" s="262"/>
      <c r="JB18" s="262"/>
      <c r="JC18" s="262"/>
      <c r="JD18" s="262"/>
      <c r="JE18" s="262"/>
      <c r="JF18" s="262"/>
      <c r="JG18" s="262"/>
      <c r="JH18" s="262"/>
      <c r="JI18" s="262"/>
      <c r="JJ18" s="262"/>
      <c r="JK18" s="262"/>
      <c r="JL18" s="262"/>
      <c r="JM18" s="262"/>
      <c r="JN18" s="262"/>
      <c r="JO18" s="262"/>
      <c r="JP18" s="262"/>
      <c r="JQ18" s="262"/>
      <c r="JR18" s="262"/>
      <c r="JS18" s="262"/>
      <c r="JT18" s="262"/>
      <c r="JU18" s="262"/>
      <c r="JV18" s="262"/>
      <c r="JW18" s="262"/>
      <c r="JX18" s="262"/>
      <c r="JY18" s="262"/>
      <c r="JZ18" s="262"/>
      <c r="KA18" s="262"/>
      <c r="KB18" s="262"/>
      <c r="KC18" s="262"/>
      <c r="KD18" s="262"/>
      <c r="KE18" s="262"/>
      <c r="KF18" s="262"/>
      <c r="KG18" s="262"/>
      <c r="KH18" s="262"/>
      <c r="KI18" s="262"/>
      <c r="KJ18" s="262"/>
      <c r="KK18" s="262"/>
      <c r="KL18" s="262"/>
      <c r="KM18" s="262"/>
      <c r="KN18" s="262"/>
      <c r="KO18" s="262"/>
      <c r="KP18" s="262"/>
      <c r="KQ18" s="262"/>
      <c r="KR18" s="262"/>
      <c r="KS18" s="262"/>
      <c r="KT18" s="262"/>
      <c r="KU18" s="262"/>
      <c r="KV18" s="262"/>
      <c r="KW18" s="262"/>
      <c r="KX18" s="262"/>
      <c r="KY18" s="262"/>
      <c r="KZ18" s="262"/>
    </row>
    <row r="19" spans="1:312" s="85" customFormat="1" ht="50" customHeight="1">
      <c r="A19" s="263" t="s">
        <v>513</v>
      </c>
      <c r="B19" s="264"/>
      <c r="C19" s="86"/>
      <c r="D19" s="86"/>
      <c r="E19" s="60">
        <v>1503</v>
      </c>
      <c r="F19" s="86" t="e">
        <f t="shared" si="0"/>
        <v>#DIV/0!</v>
      </c>
      <c r="G19" s="87">
        <v>15</v>
      </c>
      <c r="H19" s="87">
        <v>15</v>
      </c>
      <c r="I19" s="264"/>
      <c r="J19" s="264" t="s">
        <v>204</v>
      </c>
      <c r="K19" s="265" t="s">
        <v>514</v>
      </c>
      <c r="L19" s="97" t="s">
        <v>335</v>
      </c>
      <c r="M19" s="98"/>
      <c r="N19" s="99"/>
      <c r="O19" s="99" t="s">
        <v>335</v>
      </c>
      <c r="P19" s="266"/>
      <c r="Q19" s="93" t="s">
        <v>689</v>
      </c>
      <c r="R19" s="93"/>
      <c r="S19" s="60">
        <v>1503</v>
      </c>
      <c r="T19" s="263">
        <f t="shared" si="1"/>
        <v>22545</v>
      </c>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c r="CY19" s="262"/>
      <c r="CZ19" s="262"/>
      <c r="DA19" s="262"/>
      <c r="DB19" s="262"/>
      <c r="DC19" s="262"/>
      <c r="DD19" s="262"/>
      <c r="DE19" s="262"/>
      <c r="DF19" s="262"/>
      <c r="DG19" s="262"/>
      <c r="DH19" s="262"/>
      <c r="DI19" s="262"/>
      <c r="DJ19" s="262"/>
      <c r="DK19" s="262"/>
      <c r="DL19" s="262"/>
      <c r="DM19" s="262"/>
      <c r="DN19" s="262"/>
      <c r="DO19" s="262"/>
      <c r="DP19" s="262"/>
      <c r="DQ19" s="262"/>
      <c r="DR19" s="262"/>
      <c r="DS19" s="262"/>
      <c r="DT19" s="262"/>
      <c r="DU19" s="262"/>
      <c r="DV19" s="262"/>
      <c r="DW19" s="262"/>
      <c r="DX19" s="262"/>
      <c r="DY19" s="262"/>
      <c r="DZ19" s="262"/>
      <c r="EA19" s="262"/>
      <c r="EB19" s="262"/>
      <c r="EC19" s="262"/>
      <c r="ED19" s="262"/>
      <c r="EE19" s="262"/>
      <c r="EF19" s="262"/>
      <c r="EG19" s="262"/>
      <c r="EH19" s="262"/>
      <c r="EI19" s="262"/>
      <c r="EJ19" s="262"/>
      <c r="EK19" s="262"/>
      <c r="EL19" s="262"/>
      <c r="EM19" s="262"/>
      <c r="EN19" s="262"/>
      <c r="EO19" s="262"/>
      <c r="EP19" s="262"/>
      <c r="EQ19" s="262"/>
      <c r="ER19" s="262"/>
      <c r="ES19" s="262"/>
      <c r="ET19" s="262"/>
      <c r="EU19" s="262"/>
      <c r="EV19" s="262"/>
      <c r="EW19" s="262"/>
      <c r="EX19" s="262"/>
      <c r="EY19" s="262"/>
      <c r="EZ19" s="262"/>
      <c r="FA19" s="262"/>
      <c r="FB19" s="262"/>
      <c r="FC19" s="262"/>
      <c r="FD19" s="262"/>
      <c r="FE19" s="262"/>
      <c r="FF19" s="262"/>
      <c r="FG19" s="262"/>
      <c r="FH19" s="262"/>
      <c r="FI19" s="262"/>
      <c r="FJ19" s="262"/>
      <c r="FK19" s="262"/>
      <c r="FL19" s="262"/>
      <c r="FM19" s="262"/>
      <c r="FN19" s="262"/>
      <c r="FO19" s="262"/>
      <c r="FP19" s="262"/>
      <c r="FQ19" s="262"/>
      <c r="FR19" s="262"/>
      <c r="FS19" s="262"/>
      <c r="FT19" s="262"/>
      <c r="FU19" s="262"/>
      <c r="FV19" s="262"/>
      <c r="FW19" s="262"/>
      <c r="FX19" s="262"/>
      <c r="FY19" s="262"/>
      <c r="FZ19" s="262"/>
      <c r="GA19" s="262"/>
      <c r="GB19" s="262"/>
      <c r="GC19" s="262"/>
      <c r="GD19" s="262"/>
      <c r="GE19" s="262"/>
      <c r="GF19" s="262"/>
      <c r="GG19" s="262"/>
      <c r="GH19" s="262"/>
      <c r="GI19" s="262"/>
      <c r="GJ19" s="262"/>
      <c r="GK19" s="262"/>
      <c r="GL19" s="262"/>
      <c r="GM19" s="262"/>
      <c r="GN19" s="262"/>
      <c r="GO19" s="262"/>
      <c r="GP19" s="262"/>
      <c r="GQ19" s="262"/>
      <c r="GR19" s="262"/>
      <c r="GS19" s="262"/>
      <c r="GT19" s="262"/>
      <c r="GU19" s="262"/>
      <c r="GV19" s="262"/>
      <c r="GW19" s="262"/>
      <c r="GX19" s="262"/>
      <c r="GY19" s="262"/>
      <c r="GZ19" s="262"/>
      <c r="HA19" s="262"/>
      <c r="HB19" s="262"/>
      <c r="HC19" s="262"/>
      <c r="HD19" s="262"/>
      <c r="HE19" s="262"/>
      <c r="HF19" s="262"/>
      <c r="HG19" s="262"/>
      <c r="HH19" s="262"/>
      <c r="HI19" s="262"/>
      <c r="HJ19" s="262"/>
      <c r="HK19" s="262"/>
      <c r="HL19" s="262"/>
      <c r="HM19" s="262"/>
      <c r="HN19" s="262"/>
      <c r="HO19" s="262"/>
      <c r="HP19" s="262"/>
      <c r="HQ19" s="262"/>
      <c r="HR19" s="262"/>
      <c r="HS19" s="262"/>
      <c r="HT19" s="262"/>
      <c r="HU19" s="262"/>
      <c r="HV19" s="262"/>
      <c r="HW19" s="262"/>
      <c r="HX19" s="262"/>
      <c r="HY19" s="262"/>
      <c r="HZ19" s="262"/>
      <c r="IA19" s="262"/>
      <c r="IB19" s="262"/>
      <c r="IC19" s="262"/>
      <c r="ID19" s="262"/>
      <c r="IE19" s="262"/>
      <c r="IF19" s="262"/>
      <c r="IG19" s="262"/>
      <c r="IH19" s="262"/>
      <c r="II19" s="262"/>
      <c r="IJ19" s="262"/>
      <c r="IK19" s="262"/>
      <c r="IL19" s="262"/>
      <c r="IM19" s="262"/>
      <c r="IN19" s="262"/>
      <c r="IO19" s="262"/>
      <c r="IP19" s="262"/>
      <c r="IQ19" s="262"/>
      <c r="IR19" s="262"/>
      <c r="IS19" s="262"/>
      <c r="IT19" s="262"/>
      <c r="IU19" s="262"/>
      <c r="IV19" s="262"/>
      <c r="IW19" s="262"/>
      <c r="IX19" s="262"/>
      <c r="IY19" s="262"/>
      <c r="IZ19" s="262"/>
      <c r="JA19" s="262"/>
      <c r="JB19" s="262"/>
      <c r="JC19" s="262"/>
      <c r="JD19" s="262"/>
      <c r="JE19" s="262"/>
      <c r="JF19" s="262"/>
      <c r="JG19" s="262"/>
      <c r="JH19" s="262"/>
      <c r="JI19" s="262"/>
      <c r="JJ19" s="262"/>
      <c r="JK19" s="262"/>
      <c r="JL19" s="262"/>
      <c r="JM19" s="262"/>
      <c r="JN19" s="262"/>
      <c r="JO19" s="262"/>
      <c r="JP19" s="262"/>
      <c r="JQ19" s="262"/>
      <c r="JR19" s="262"/>
      <c r="JS19" s="262"/>
      <c r="JT19" s="262"/>
      <c r="JU19" s="262"/>
      <c r="JV19" s="262"/>
      <c r="JW19" s="262"/>
      <c r="JX19" s="262"/>
      <c r="JY19" s="262"/>
      <c r="JZ19" s="262"/>
      <c r="KA19" s="262"/>
      <c r="KB19" s="262"/>
      <c r="KC19" s="262"/>
      <c r="KD19" s="262"/>
      <c r="KE19" s="262"/>
      <c r="KF19" s="262"/>
      <c r="KG19" s="262"/>
      <c r="KH19" s="262"/>
      <c r="KI19" s="262"/>
      <c r="KJ19" s="262"/>
      <c r="KK19" s="262"/>
      <c r="KL19" s="262"/>
      <c r="KM19" s="262"/>
      <c r="KN19" s="262"/>
      <c r="KO19" s="262"/>
      <c r="KP19" s="262"/>
      <c r="KQ19" s="262"/>
      <c r="KR19" s="262"/>
      <c r="KS19" s="262"/>
      <c r="KT19" s="262"/>
      <c r="KU19" s="262"/>
      <c r="KV19" s="262"/>
      <c r="KW19" s="262"/>
      <c r="KX19" s="262"/>
      <c r="KY19" s="262"/>
      <c r="KZ19" s="262"/>
    </row>
    <row r="20" spans="1:312" s="85" customFormat="1" ht="50" customHeight="1">
      <c r="A20" s="263" t="s">
        <v>131</v>
      </c>
      <c r="B20" s="264">
        <v>239655</v>
      </c>
      <c r="C20" s="86">
        <v>12180</v>
      </c>
      <c r="D20" s="86">
        <v>879</v>
      </c>
      <c r="E20" s="60">
        <v>1599</v>
      </c>
      <c r="F20" s="86">
        <f t="shared" si="0"/>
        <v>13.856655290102388</v>
      </c>
      <c r="G20" s="87">
        <v>14</v>
      </c>
      <c r="H20" s="87">
        <v>14</v>
      </c>
      <c r="I20" s="87"/>
      <c r="J20" s="87" t="s">
        <v>204</v>
      </c>
      <c r="K20" s="89" t="s">
        <v>691</v>
      </c>
      <c r="L20" s="90" t="s">
        <v>335</v>
      </c>
      <c r="M20" s="94"/>
      <c r="N20" s="91" t="s">
        <v>335</v>
      </c>
      <c r="O20" s="91" t="s">
        <v>335</v>
      </c>
      <c r="P20" s="92"/>
      <c r="Q20" s="95" t="s">
        <v>689</v>
      </c>
      <c r="R20" s="95"/>
      <c r="S20" s="60">
        <v>1599</v>
      </c>
      <c r="T20" s="263">
        <f t="shared" si="1"/>
        <v>22386</v>
      </c>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2"/>
      <c r="DM20" s="262"/>
      <c r="DN20" s="262"/>
      <c r="DO20" s="262"/>
      <c r="DP20" s="262"/>
      <c r="DQ20" s="262"/>
      <c r="DR20" s="262"/>
      <c r="DS20" s="262"/>
      <c r="DT20" s="262"/>
      <c r="DU20" s="262"/>
      <c r="DV20" s="262"/>
      <c r="DW20" s="262"/>
      <c r="DX20" s="262"/>
      <c r="DY20" s="262"/>
      <c r="DZ20" s="262"/>
      <c r="EA20" s="262"/>
      <c r="EB20" s="262"/>
      <c r="EC20" s="262"/>
      <c r="ED20" s="262"/>
      <c r="EE20" s="262"/>
      <c r="EF20" s="262"/>
      <c r="EG20" s="262"/>
      <c r="EH20" s="262"/>
      <c r="EI20" s="262"/>
      <c r="EJ20" s="262"/>
      <c r="EK20" s="262"/>
      <c r="EL20" s="262"/>
      <c r="EM20" s="262"/>
      <c r="EN20" s="262"/>
      <c r="EO20" s="262"/>
      <c r="EP20" s="262"/>
      <c r="EQ20" s="262"/>
      <c r="ER20" s="262"/>
      <c r="ES20" s="262"/>
      <c r="ET20" s="262"/>
      <c r="EU20" s="262"/>
      <c r="EV20" s="262"/>
      <c r="EW20" s="262"/>
      <c r="EX20" s="262"/>
      <c r="EY20" s="262"/>
      <c r="EZ20" s="262"/>
      <c r="FA20" s="262"/>
      <c r="FB20" s="262"/>
      <c r="FC20" s="262"/>
      <c r="FD20" s="262"/>
      <c r="FE20" s="262"/>
      <c r="FF20" s="262"/>
      <c r="FG20" s="262"/>
      <c r="FH20" s="262"/>
      <c r="FI20" s="262"/>
      <c r="FJ20" s="262"/>
      <c r="FK20" s="262"/>
      <c r="FL20" s="262"/>
      <c r="FM20" s="262"/>
      <c r="FN20" s="262"/>
      <c r="FO20" s="262"/>
      <c r="FP20" s="262"/>
      <c r="FQ20" s="262"/>
      <c r="FR20" s="262"/>
      <c r="FS20" s="262"/>
      <c r="FT20" s="262"/>
      <c r="FU20" s="262"/>
      <c r="FV20" s="262"/>
      <c r="FW20" s="262"/>
      <c r="FX20" s="262"/>
      <c r="FY20" s="262"/>
      <c r="FZ20" s="262"/>
      <c r="GA20" s="262"/>
      <c r="GB20" s="262"/>
      <c r="GC20" s="262"/>
      <c r="GD20" s="262"/>
      <c r="GE20" s="262"/>
      <c r="GF20" s="262"/>
      <c r="GG20" s="262"/>
      <c r="GH20" s="262"/>
      <c r="GI20" s="262"/>
      <c r="GJ20" s="262"/>
      <c r="GK20" s="262"/>
      <c r="GL20" s="262"/>
      <c r="GM20" s="262"/>
      <c r="GN20" s="262"/>
      <c r="GO20" s="262"/>
      <c r="GP20" s="262"/>
      <c r="GQ20" s="262"/>
      <c r="GR20" s="262"/>
      <c r="GS20" s="262"/>
      <c r="GT20" s="262"/>
      <c r="GU20" s="262"/>
      <c r="GV20" s="262"/>
      <c r="GW20" s="262"/>
      <c r="GX20" s="262"/>
      <c r="GY20" s="262"/>
      <c r="GZ20" s="262"/>
      <c r="HA20" s="262"/>
      <c r="HB20" s="262"/>
      <c r="HC20" s="262"/>
      <c r="HD20" s="262"/>
      <c r="HE20" s="262"/>
      <c r="HF20" s="262"/>
      <c r="HG20" s="262"/>
      <c r="HH20" s="262"/>
      <c r="HI20" s="262"/>
      <c r="HJ20" s="262"/>
      <c r="HK20" s="262"/>
      <c r="HL20" s="262"/>
      <c r="HM20" s="262"/>
      <c r="HN20" s="262"/>
      <c r="HO20" s="262"/>
      <c r="HP20" s="262"/>
      <c r="HQ20" s="262"/>
      <c r="HR20" s="262"/>
      <c r="HS20" s="262"/>
      <c r="HT20" s="262"/>
      <c r="HU20" s="262"/>
      <c r="HV20" s="262"/>
      <c r="HW20" s="262"/>
      <c r="HX20" s="262"/>
      <c r="HY20" s="262"/>
      <c r="HZ20" s="262"/>
      <c r="IA20" s="262"/>
      <c r="IB20" s="262"/>
      <c r="IC20" s="262"/>
      <c r="ID20" s="262"/>
      <c r="IE20" s="262"/>
      <c r="IF20" s="262"/>
      <c r="IG20" s="262"/>
      <c r="IH20" s="262"/>
      <c r="II20" s="262"/>
      <c r="IJ20" s="262"/>
      <c r="IK20" s="262"/>
      <c r="IL20" s="262"/>
      <c r="IM20" s="262"/>
      <c r="IN20" s="262"/>
      <c r="IO20" s="262"/>
      <c r="IP20" s="262"/>
      <c r="IQ20" s="262"/>
      <c r="IR20" s="262"/>
      <c r="IS20" s="262"/>
      <c r="IT20" s="262"/>
      <c r="IU20" s="262"/>
      <c r="IV20" s="262"/>
      <c r="IW20" s="262"/>
      <c r="IX20" s="262"/>
      <c r="IY20" s="262"/>
      <c r="IZ20" s="262"/>
      <c r="JA20" s="262"/>
      <c r="JB20" s="262"/>
      <c r="JC20" s="262"/>
      <c r="JD20" s="262"/>
      <c r="JE20" s="262"/>
      <c r="JF20" s="262"/>
      <c r="JG20" s="262"/>
      <c r="JH20" s="262"/>
      <c r="JI20" s="262"/>
      <c r="JJ20" s="262"/>
      <c r="JK20" s="262"/>
      <c r="JL20" s="262"/>
      <c r="JM20" s="262"/>
      <c r="JN20" s="262"/>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row>
    <row r="21" spans="1:312" s="85" customFormat="1" ht="50" customHeight="1">
      <c r="A21" s="267" t="s">
        <v>545</v>
      </c>
      <c r="B21" s="268">
        <v>51206</v>
      </c>
      <c r="C21" s="100">
        <v>3060</v>
      </c>
      <c r="D21" s="100">
        <v>224</v>
      </c>
      <c r="E21" s="101">
        <v>1599</v>
      </c>
      <c r="F21" s="100">
        <f t="shared" si="0"/>
        <v>13.660714285714286</v>
      </c>
      <c r="G21" s="102">
        <v>14</v>
      </c>
      <c r="H21" s="102">
        <v>14</v>
      </c>
      <c r="I21" s="101"/>
      <c r="J21" s="268" t="s">
        <v>204</v>
      </c>
      <c r="K21" s="269" t="s">
        <v>692</v>
      </c>
      <c r="L21" s="103" t="s">
        <v>335</v>
      </c>
      <c r="M21" s="104"/>
      <c r="N21" s="103" t="s">
        <v>335</v>
      </c>
      <c r="O21" s="103" t="s">
        <v>335</v>
      </c>
      <c r="P21" s="270"/>
      <c r="Q21" s="105" t="s">
        <v>689</v>
      </c>
      <c r="R21" s="105"/>
      <c r="S21" s="101">
        <v>1599</v>
      </c>
      <c r="T21" s="267">
        <f t="shared" si="1"/>
        <v>22386</v>
      </c>
      <c r="U21" s="271" t="s">
        <v>693</v>
      </c>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2"/>
      <c r="CV21" s="262"/>
      <c r="CW21" s="262"/>
      <c r="CX21" s="262"/>
      <c r="CY21" s="262"/>
      <c r="CZ21" s="262"/>
      <c r="DA21" s="262"/>
      <c r="DB21" s="262"/>
      <c r="DC21" s="262"/>
      <c r="DD21" s="262"/>
      <c r="DE21" s="262"/>
      <c r="DF21" s="262"/>
      <c r="DG21" s="262"/>
      <c r="DH21" s="262"/>
      <c r="DI21" s="262"/>
      <c r="DJ21" s="262"/>
      <c r="DK21" s="262"/>
      <c r="DL21" s="262"/>
      <c r="DM21" s="262"/>
      <c r="DN21" s="262"/>
      <c r="DO21" s="262"/>
      <c r="DP21" s="262"/>
      <c r="DQ21" s="262"/>
      <c r="DR21" s="262"/>
      <c r="DS21" s="262"/>
      <c r="DT21" s="262"/>
      <c r="DU21" s="262"/>
      <c r="DV21" s="262"/>
      <c r="DW21" s="262"/>
      <c r="DX21" s="262"/>
      <c r="DY21" s="262"/>
      <c r="DZ21" s="262"/>
      <c r="EA21" s="262"/>
      <c r="EB21" s="262"/>
      <c r="EC21" s="262"/>
      <c r="ED21" s="262"/>
      <c r="EE21" s="262"/>
      <c r="EF21" s="262"/>
      <c r="EG21" s="262"/>
      <c r="EH21" s="262"/>
      <c r="EI21" s="262"/>
      <c r="EJ21" s="262"/>
      <c r="EK21" s="262"/>
      <c r="EL21" s="262"/>
      <c r="EM21" s="262"/>
      <c r="EN21" s="262"/>
      <c r="EO21" s="262"/>
      <c r="EP21" s="262"/>
      <c r="EQ21" s="262"/>
      <c r="ER21" s="262"/>
      <c r="ES21" s="262"/>
      <c r="ET21" s="262"/>
      <c r="EU21" s="262"/>
      <c r="EV21" s="262"/>
      <c r="EW21" s="262"/>
      <c r="EX21" s="262"/>
      <c r="EY21" s="262"/>
      <c r="EZ21" s="262"/>
      <c r="FA21" s="262"/>
      <c r="FB21" s="262"/>
      <c r="FC21" s="262"/>
      <c r="FD21" s="262"/>
      <c r="FE21" s="262"/>
      <c r="FF21" s="262"/>
      <c r="FG21" s="262"/>
      <c r="FH21" s="262"/>
      <c r="FI21" s="262"/>
      <c r="FJ21" s="262"/>
      <c r="FK21" s="262"/>
      <c r="FL21" s="262"/>
      <c r="FM21" s="262"/>
      <c r="FN21" s="262"/>
      <c r="FO21" s="262"/>
      <c r="FP21" s="262"/>
      <c r="FQ21" s="262"/>
      <c r="FR21" s="262"/>
      <c r="FS21" s="262"/>
      <c r="FT21" s="262"/>
      <c r="FU21" s="262"/>
      <c r="FV21" s="262"/>
      <c r="FW21" s="262"/>
      <c r="FX21" s="262"/>
      <c r="FY21" s="262"/>
      <c r="FZ21" s="262"/>
      <c r="GA21" s="262"/>
      <c r="GB21" s="262"/>
      <c r="GC21" s="262"/>
      <c r="GD21" s="262"/>
      <c r="GE21" s="262"/>
      <c r="GF21" s="262"/>
      <c r="GG21" s="262"/>
      <c r="GH21" s="262"/>
      <c r="GI21" s="262"/>
      <c r="GJ21" s="262"/>
      <c r="GK21" s="262"/>
      <c r="GL21" s="262"/>
      <c r="GM21" s="262"/>
      <c r="GN21" s="262"/>
      <c r="GO21" s="262"/>
      <c r="GP21" s="262"/>
      <c r="GQ21" s="262"/>
      <c r="GR21" s="262"/>
      <c r="GS21" s="262"/>
      <c r="GT21" s="262"/>
      <c r="GU21" s="262"/>
      <c r="GV21" s="262"/>
      <c r="GW21" s="262"/>
      <c r="GX21" s="262"/>
      <c r="GY21" s="262"/>
      <c r="GZ21" s="262"/>
      <c r="HA21" s="262"/>
      <c r="HB21" s="262"/>
      <c r="HC21" s="262"/>
      <c r="HD21" s="262"/>
      <c r="HE21" s="262"/>
      <c r="HF21" s="262"/>
      <c r="HG21" s="262"/>
      <c r="HH21" s="262"/>
      <c r="HI21" s="262"/>
      <c r="HJ21" s="262"/>
      <c r="HK21" s="262"/>
      <c r="HL21" s="262"/>
      <c r="HM21" s="262"/>
      <c r="HN21" s="262"/>
      <c r="HO21" s="262"/>
      <c r="HP21" s="262"/>
      <c r="HQ21" s="262"/>
      <c r="HR21" s="262"/>
      <c r="HS21" s="262"/>
      <c r="HT21" s="262"/>
      <c r="HU21" s="262"/>
      <c r="HV21" s="262"/>
      <c r="HW21" s="262"/>
      <c r="HX21" s="262"/>
      <c r="HY21" s="262"/>
      <c r="HZ21" s="262"/>
      <c r="IA21" s="262"/>
      <c r="IB21" s="262"/>
      <c r="IC21" s="262"/>
      <c r="ID21" s="262"/>
      <c r="IE21" s="262"/>
      <c r="IF21" s="262"/>
      <c r="IG21" s="262"/>
      <c r="IH21" s="262"/>
      <c r="II21" s="262"/>
      <c r="IJ21" s="262"/>
      <c r="IK21" s="262"/>
      <c r="IL21" s="262"/>
      <c r="IM21" s="262"/>
      <c r="IN21" s="262"/>
      <c r="IO21" s="262"/>
      <c r="IP21" s="262"/>
      <c r="IQ21" s="262"/>
      <c r="IR21" s="262"/>
      <c r="IS21" s="262"/>
      <c r="IT21" s="262"/>
      <c r="IU21" s="262"/>
      <c r="IV21" s="262"/>
      <c r="IW21" s="262"/>
      <c r="IX21" s="262"/>
      <c r="IY21" s="262"/>
      <c r="IZ21" s="262"/>
      <c r="JA21" s="262"/>
      <c r="JB21" s="262"/>
      <c r="JC21" s="262"/>
      <c r="JD21" s="262"/>
      <c r="JE21" s="262"/>
      <c r="JF21" s="262"/>
      <c r="JG21" s="262"/>
      <c r="JH21" s="262"/>
      <c r="JI21" s="262"/>
      <c r="JJ21" s="262"/>
      <c r="JK21" s="262"/>
      <c r="JL21" s="262"/>
      <c r="JM21" s="262"/>
      <c r="JN21" s="262"/>
      <c r="JO21" s="262"/>
      <c r="JP21" s="262"/>
      <c r="JQ21" s="262"/>
      <c r="JR21" s="262"/>
      <c r="JS21" s="262"/>
      <c r="JT21" s="262"/>
      <c r="JU21" s="262"/>
      <c r="JV21" s="262"/>
      <c r="JW21" s="262"/>
      <c r="JX21" s="262"/>
      <c r="JY21" s="262"/>
      <c r="JZ21" s="262"/>
      <c r="KA21" s="262"/>
      <c r="KB21" s="262"/>
      <c r="KC21" s="262"/>
      <c r="KD21" s="262"/>
      <c r="KE21" s="262"/>
      <c r="KF21" s="262"/>
      <c r="KG21" s="262"/>
      <c r="KH21" s="262"/>
      <c r="KI21" s="262"/>
      <c r="KJ21" s="262"/>
      <c r="KK21" s="262"/>
      <c r="KL21" s="262"/>
      <c r="KM21" s="262"/>
      <c r="KN21" s="262"/>
      <c r="KO21" s="262"/>
      <c r="KP21" s="262"/>
      <c r="KQ21" s="262"/>
      <c r="KR21" s="262"/>
      <c r="KS21" s="262"/>
      <c r="KT21" s="262"/>
      <c r="KU21" s="262"/>
      <c r="KV21" s="262"/>
      <c r="KW21" s="262"/>
      <c r="KX21" s="262"/>
      <c r="KY21" s="262"/>
      <c r="KZ21" s="262"/>
    </row>
    <row r="22" spans="1:312" s="96" customFormat="1" ht="50" customHeight="1">
      <c r="A22" s="263" t="s">
        <v>110</v>
      </c>
      <c r="B22" s="264"/>
      <c r="C22" s="86"/>
      <c r="D22" s="86"/>
      <c r="E22" s="60">
        <v>1599</v>
      </c>
      <c r="F22" s="86" t="e">
        <f t="shared" si="0"/>
        <v>#DIV/0!</v>
      </c>
      <c r="G22" s="87">
        <v>14</v>
      </c>
      <c r="H22" s="87">
        <v>14</v>
      </c>
      <c r="I22" s="87"/>
      <c r="J22" s="87" t="s">
        <v>248</v>
      </c>
      <c r="K22" s="89" t="s">
        <v>286</v>
      </c>
      <c r="L22" s="90" t="s">
        <v>335</v>
      </c>
      <c r="M22" s="94"/>
      <c r="N22" s="91" t="s">
        <v>335</v>
      </c>
      <c r="O22" s="91" t="s">
        <v>335</v>
      </c>
      <c r="P22" s="92"/>
      <c r="Q22" s="95" t="s">
        <v>689</v>
      </c>
      <c r="R22" s="95"/>
      <c r="S22" s="60">
        <v>1599</v>
      </c>
      <c r="T22" s="263">
        <f t="shared" si="1"/>
        <v>22386</v>
      </c>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c r="DA22" s="262"/>
      <c r="DB22" s="262"/>
      <c r="DC22" s="262"/>
      <c r="DD22" s="262"/>
      <c r="DE22" s="262"/>
      <c r="DF22" s="262"/>
      <c r="DG22" s="262"/>
      <c r="DH22" s="262"/>
      <c r="DI22" s="262"/>
      <c r="DJ22" s="262"/>
      <c r="DK22" s="262"/>
      <c r="DL22" s="262"/>
      <c r="DM22" s="262"/>
      <c r="DN22" s="262"/>
      <c r="DO22" s="262"/>
      <c r="DP22" s="262"/>
      <c r="DQ22" s="262"/>
      <c r="DR22" s="262"/>
      <c r="DS22" s="262"/>
      <c r="DT22" s="262"/>
      <c r="DU22" s="262"/>
      <c r="DV22" s="262"/>
      <c r="DW22" s="262"/>
      <c r="DX22" s="262"/>
      <c r="DY22" s="262"/>
      <c r="DZ22" s="262"/>
      <c r="EA22" s="262"/>
      <c r="EB22" s="262"/>
      <c r="EC22" s="262"/>
      <c r="ED22" s="262"/>
      <c r="EE22" s="262"/>
      <c r="EF22" s="262"/>
      <c r="EG22" s="262"/>
      <c r="EH22" s="262"/>
      <c r="EI22" s="262"/>
      <c r="EJ22" s="262"/>
      <c r="EK22" s="262"/>
      <c r="EL22" s="262"/>
      <c r="EM22" s="262"/>
      <c r="EN22" s="262"/>
      <c r="EO22" s="262"/>
      <c r="EP22" s="262"/>
      <c r="EQ22" s="262"/>
      <c r="ER22" s="262"/>
      <c r="ES22" s="262"/>
      <c r="ET22" s="262"/>
      <c r="EU22" s="262"/>
      <c r="EV22" s="262"/>
      <c r="EW22" s="262"/>
      <c r="EX22" s="262"/>
      <c r="EY22" s="262"/>
      <c r="EZ22" s="262"/>
      <c r="FA22" s="262"/>
      <c r="FB22" s="262"/>
      <c r="FC22" s="262"/>
      <c r="FD22" s="262"/>
      <c r="FE22" s="262"/>
      <c r="FF22" s="262"/>
      <c r="FG22" s="262"/>
      <c r="FH22" s="262"/>
      <c r="FI22" s="262"/>
      <c r="FJ22" s="262"/>
      <c r="FK22" s="262"/>
      <c r="FL22" s="262"/>
      <c r="FM22" s="262"/>
      <c r="FN22" s="262"/>
      <c r="FO22" s="262"/>
      <c r="FP22" s="262"/>
      <c r="FQ22" s="262"/>
      <c r="FR22" s="262"/>
      <c r="FS22" s="262"/>
      <c r="FT22" s="262"/>
      <c r="FU22" s="262"/>
      <c r="FV22" s="262"/>
      <c r="FW22" s="262"/>
      <c r="FX22" s="262"/>
      <c r="FY22" s="262"/>
      <c r="FZ22" s="262"/>
      <c r="GA22" s="262"/>
      <c r="GB22" s="262"/>
      <c r="GC22" s="262"/>
      <c r="GD22" s="262"/>
      <c r="GE22" s="262"/>
      <c r="GF22" s="262"/>
      <c r="GG22" s="262"/>
      <c r="GH22" s="262"/>
      <c r="GI22" s="262"/>
      <c r="GJ22" s="262"/>
      <c r="GK22" s="262"/>
      <c r="GL22" s="262"/>
      <c r="GM22" s="262"/>
      <c r="GN22" s="262"/>
      <c r="GO22" s="262"/>
      <c r="GP22" s="262"/>
      <c r="GQ22" s="262"/>
      <c r="GR22" s="262"/>
      <c r="GS22" s="262"/>
      <c r="GT22" s="262"/>
      <c r="GU22" s="262"/>
      <c r="GV22" s="262"/>
      <c r="GW22" s="262"/>
      <c r="GX22" s="262"/>
      <c r="GY22" s="262"/>
      <c r="GZ22" s="262"/>
      <c r="HA22" s="262"/>
      <c r="HB22" s="262"/>
      <c r="HC22" s="262"/>
      <c r="HD22" s="262"/>
      <c r="HE22" s="262"/>
      <c r="HF22" s="262"/>
      <c r="HG22" s="262"/>
      <c r="HH22" s="262"/>
      <c r="HI22" s="262"/>
      <c r="HJ22" s="262"/>
      <c r="HK22" s="262"/>
      <c r="HL22" s="262"/>
      <c r="HM22" s="262"/>
      <c r="HN22" s="262"/>
      <c r="HO22" s="262"/>
      <c r="HP22" s="262"/>
      <c r="HQ22" s="262"/>
      <c r="HR22" s="262"/>
      <c r="HS22" s="262"/>
      <c r="HT22" s="262"/>
      <c r="HU22" s="262"/>
      <c r="HV22" s="262"/>
      <c r="HW22" s="262"/>
      <c r="HX22" s="262"/>
      <c r="HY22" s="262"/>
      <c r="HZ22" s="262"/>
      <c r="IA22" s="262"/>
      <c r="IB22" s="262"/>
      <c r="IC22" s="262"/>
      <c r="ID22" s="262"/>
      <c r="IE22" s="262"/>
      <c r="IF22" s="262"/>
      <c r="IG22" s="262"/>
      <c r="IH22" s="262"/>
      <c r="II22" s="262"/>
      <c r="IJ22" s="262"/>
      <c r="IK22" s="262"/>
      <c r="IL22" s="262"/>
      <c r="IM22" s="262"/>
      <c r="IN22" s="262"/>
      <c r="IO22" s="262"/>
      <c r="IP22" s="262"/>
      <c r="IQ22" s="262"/>
      <c r="IR22" s="262"/>
      <c r="IS22" s="262"/>
      <c r="IT22" s="262"/>
      <c r="IU22" s="262"/>
      <c r="IV22" s="262"/>
      <c r="IW22" s="262"/>
      <c r="IX22" s="262"/>
      <c r="IY22" s="262"/>
      <c r="IZ22" s="262"/>
      <c r="JA22" s="262"/>
      <c r="JB22" s="262"/>
      <c r="JC22" s="262"/>
      <c r="JD22" s="262"/>
      <c r="JE22" s="262"/>
      <c r="JF22" s="262"/>
      <c r="JG22" s="262"/>
      <c r="JH22" s="262"/>
      <c r="JI22" s="262"/>
      <c r="JJ22" s="262"/>
      <c r="JK22" s="262"/>
      <c r="JL22" s="262"/>
      <c r="JM22" s="262"/>
      <c r="JN22" s="262"/>
      <c r="JO22" s="262"/>
      <c r="JP22" s="262"/>
      <c r="JQ22" s="262"/>
      <c r="JR22" s="262"/>
      <c r="JS22" s="262"/>
      <c r="JT22" s="262"/>
      <c r="JU22" s="262"/>
      <c r="JV22" s="262"/>
      <c r="JW22" s="262"/>
      <c r="JX22" s="262"/>
      <c r="JY22" s="262"/>
      <c r="JZ22" s="262"/>
      <c r="KA22" s="262"/>
      <c r="KB22" s="262"/>
      <c r="KC22" s="262"/>
      <c r="KD22" s="262"/>
      <c r="KE22" s="262"/>
      <c r="KF22" s="262"/>
      <c r="KG22" s="262"/>
      <c r="KH22" s="262"/>
      <c r="KI22" s="262"/>
      <c r="KJ22" s="262"/>
      <c r="KK22" s="262"/>
      <c r="KL22" s="262"/>
      <c r="KM22" s="262"/>
      <c r="KN22" s="262"/>
      <c r="KO22" s="262"/>
      <c r="KP22" s="262"/>
      <c r="KQ22" s="262"/>
      <c r="KR22" s="262"/>
      <c r="KS22" s="262"/>
      <c r="KT22" s="262"/>
      <c r="KU22" s="262"/>
      <c r="KV22" s="262"/>
      <c r="KW22" s="262"/>
      <c r="KX22" s="262"/>
      <c r="KY22" s="262"/>
      <c r="KZ22" s="262"/>
    </row>
    <row r="23" spans="1:312" s="85" customFormat="1" ht="50" customHeight="1">
      <c r="A23" s="263" t="s">
        <v>132</v>
      </c>
      <c r="B23" s="264"/>
      <c r="C23" s="86"/>
      <c r="D23" s="86"/>
      <c r="E23" s="60">
        <v>1715</v>
      </c>
      <c r="F23" s="86" t="e">
        <f t="shared" si="0"/>
        <v>#DIV/0!</v>
      </c>
      <c r="G23" s="87">
        <v>12</v>
      </c>
      <c r="H23" s="87">
        <v>12</v>
      </c>
      <c r="I23" s="87"/>
      <c r="J23" s="87" t="s">
        <v>204</v>
      </c>
      <c r="K23" s="89" t="s">
        <v>345</v>
      </c>
      <c r="L23" s="90" t="s">
        <v>335</v>
      </c>
      <c r="M23" s="90" t="s">
        <v>689</v>
      </c>
      <c r="N23" s="91" t="s">
        <v>335</v>
      </c>
      <c r="O23" s="91" t="s">
        <v>335</v>
      </c>
      <c r="P23" s="92"/>
      <c r="Q23" s="95" t="s">
        <v>689</v>
      </c>
      <c r="R23" s="95" t="s">
        <v>689</v>
      </c>
      <c r="S23" s="60">
        <v>1715</v>
      </c>
      <c r="T23" s="263">
        <f t="shared" si="1"/>
        <v>20580</v>
      </c>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c r="DS23" s="262"/>
      <c r="DT23" s="262"/>
      <c r="DU23" s="262"/>
      <c r="DV23" s="262"/>
      <c r="DW23" s="262"/>
      <c r="DX23" s="262"/>
      <c r="DY23" s="262"/>
      <c r="DZ23" s="262"/>
      <c r="EA23" s="262"/>
      <c r="EB23" s="262"/>
      <c r="EC23" s="262"/>
      <c r="ED23" s="262"/>
      <c r="EE23" s="262"/>
      <c r="EF23" s="262"/>
      <c r="EG23" s="262"/>
      <c r="EH23" s="262"/>
      <c r="EI23" s="262"/>
      <c r="EJ23" s="262"/>
      <c r="EK23" s="262"/>
      <c r="EL23" s="262"/>
      <c r="EM23" s="262"/>
      <c r="EN23" s="262"/>
      <c r="EO23" s="262"/>
      <c r="EP23" s="262"/>
      <c r="EQ23" s="262"/>
      <c r="ER23" s="262"/>
      <c r="ES23" s="262"/>
      <c r="ET23" s="262"/>
      <c r="EU23" s="262"/>
      <c r="EV23" s="262"/>
      <c r="EW23" s="262"/>
      <c r="EX23" s="262"/>
      <c r="EY23" s="262"/>
      <c r="EZ23" s="262"/>
      <c r="FA23" s="262"/>
      <c r="FB23" s="262"/>
      <c r="FC23" s="262"/>
      <c r="FD23" s="262"/>
      <c r="FE23" s="262"/>
      <c r="FF23" s="262"/>
      <c r="FG23" s="262"/>
      <c r="FH23" s="262"/>
      <c r="FI23" s="262"/>
      <c r="FJ23" s="262"/>
      <c r="FK23" s="262"/>
      <c r="FL23" s="262"/>
      <c r="FM23" s="262"/>
      <c r="FN23" s="262"/>
      <c r="FO23" s="262"/>
      <c r="FP23" s="262"/>
      <c r="FQ23" s="262"/>
      <c r="FR23" s="262"/>
      <c r="FS23" s="262"/>
      <c r="FT23" s="262"/>
      <c r="FU23" s="262"/>
      <c r="FV23" s="262"/>
      <c r="FW23" s="262"/>
      <c r="FX23" s="262"/>
      <c r="FY23" s="262"/>
      <c r="FZ23" s="262"/>
      <c r="GA23" s="262"/>
      <c r="GB23" s="262"/>
      <c r="GC23" s="262"/>
      <c r="GD23" s="262"/>
      <c r="GE23" s="262"/>
      <c r="GF23" s="262"/>
      <c r="GG23" s="262"/>
      <c r="GH23" s="262"/>
      <c r="GI23" s="262"/>
      <c r="GJ23" s="262"/>
      <c r="GK23" s="262"/>
      <c r="GL23" s="262"/>
      <c r="GM23" s="262"/>
      <c r="GN23" s="262"/>
      <c r="GO23" s="262"/>
      <c r="GP23" s="262"/>
      <c r="GQ23" s="262"/>
      <c r="GR23" s="262"/>
      <c r="GS23" s="262"/>
      <c r="GT23" s="262"/>
      <c r="GU23" s="262"/>
      <c r="GV23" s="262"/>
      <c r="GW23" s="262"/>
      <c r="GX23" s="262"/>
      <c r="GY23" s="262"/>
      <c r="GZ23" s="262"/>
      <c r="HA23" s="262"/>
      <c r="HB23" s="262"/>
      <c r="HC23" s="262"/>
      <c r="HD23" s="262"/>
      <c r="HE23" s="262"/>
      <c r="HF23" s="262"/>
      <c r="HG23" s="262"/>
      <c r="HH23" s="262"/>
      <c r="HI23" s="262"/>
      <c r="HJ23" s="262"/>
      <c r="HK23" s="262"/>
      <c r="HL23" s="262"/>
      <c r="HM23" s="262"/>
      <c r="HN23" s="262"/>
      <c r="HO23" s="262"/>
      <c r="HP23" s="262"/>
      <c r="HQ23" s="262"/>
      <c r="HR23" s="262"/>
      <c r="HS23" s="262"/>
      <c r="HT23" s="262"/>
      <c r="HU23" s="262"/>
      <c r="HV23" s="262"/>
      <c r="HW23" s="262"/>
      <c r="HX23" s="262"/>
      <c r="HY23" s="262"/>
      <c r="HZ23" s="262"/>
      <c r="IA23" s="262"/>
      <c r="IB23" s="262"/>
      <c r="IC23" s="262"/>
      <c r="ID23" s="262"/>
      <c r="IE23" s="262"/>
      <c r="IF23" s="262"/>
      <c r="IG23" s="262"/>
      <c r="IH23" s="262"/>
      <c r="II23" s="262"/>
      <c r="IJ23" s="262"/>
      <c r="IK23" s="262"/>
      <c r="IL23" s="262"/>
      <c r="IM23" s="262"/>
      <c r="IN23" s="262"/>
      <c r="IO23" s="262"/>
      <c r="IP23" s="262"/>
      <c r="IQ23" s="262"/>
      <c r="IR23" s="262"/>
      <c r="IS23" s="262"/>
      <c r="IT23" s="262"/>
      <c r="IU23" s="262"/>
      <c r="IV23" s="262"/>
      <c r="IW23" s="262"/>
      <c r="IX23" s="262"/>
      <c r="IY23" s="262"/>
      <c r="IZ23" s="262"/>
      <c r="JA23" s="262"/>
      <c r="JB23" s="262"/>
      <c r="JC23" s="262"/>
      <c r="JD23" s="262"/>
      <c r="JE23" s="262"/>
      <c r="JF23" s="262"/>
      <c r="JG23" s="262"/>
      <c r="JH23" s="262"/>
      <c r="JI23" s="262"/>
      <c r="JJ23" s="262"/>
      <c r="JK23" s="262"/>
      <c r="JL23" s="262"/>
      <c r="JM23" s="262"/>
      <c r="JN23" s="262"/>
      <c r="JO23" s="262"/>
      <c r="JP23" s="262"/>
      <c r="JQ23" s="262"/>
      <c r="JR23" s="262"/>
      <c r="JS23" s="262"/>
      <c r="JT23" s="262"/>
      <c r="JU23" s="262"/>
      <c r="JV23" s="262"/>
      <c r="JW23" s="262"/>
      <c r="JX23" s="262"/>
      <c r="JY23" s="262"/>
      <c r="JZ23" s="262"/>
      <c r="KA23" s="262"/>
      <c r="KB23" s="262"/>
      <c r="KC23" s="262"/>
      <c r="KD23" s="262"/>
      <c r="KE23" s="262"/>
      <c r="KF23" s="262"/>
      <c r="KG23" s="262"/>
      <c r="KH23" s="262"/>
      <c r="KI23" s="262"/>
      <c r="KJ23" s="262"/>
      <c r="KK23" s="262"/>
      <c r="KL23" s="262"/>
      <c r="KM23" s="262"/>
      <c r="KN23" s="262"/>
      <c r="KO23" s="262"/>
      <c r="KP23" s="262"/>
      <c r="KQ23" s="262"/>
      <c r="KR23" s="262"/>
      <c r="KS23" s="262"/>
      <c r="KT23" s="262"/>
      <c r="KU23" s="262"/>
      <c r="KV23" s="262"/>
      <c r="KW23" s="262"/>
      <c r="KX23" s="262"/>
      <c r="KY23" s="262"/>
      <c r="KZ23" s="262"/>
    </row>
    <row r="24" spans="1:312" s="85" customFormat="1" ht="50" customHeight="1">
      <c r="A24" s="263" t="s">
        <v>142</v>
      </c>
      <c r="B24" s="264"/>
      <c r="C24" s="86"/>
      <c r="D24" s="86"/>
      <c r="E24" s="60">
        <v>1599</v>
      </c>
      <c r="F24" s="86" t="e">
        <f t="shared" si="0"/>
        <v>#DIV/0!</v>
      </c>
      <c r="G24" s="87">
        <v>12</v>
      </c>
      <c r="H24" s="87">
        <v>12</v>
      </c>
      <c r="I24" s="87"/>
      <c r="J24" s="87" t="s">
        <v>204</v>
      </c>
      <c r="K24" s="89" t="s">
        <v>694</v>
      </c>
      <c r="L24" s="90" t="s">
        <v>335</v>
      </c>
      <c r="M24" s="90"/>
      <c r="N24" s="91" t="s">
        <v>335</v>
      </c>
      <c r="O24" s="91" t="s">
        <v>335</v>
      </c>
      <c r="P24" s="92"/>
      <c r="Q24" s="95" t="s">
        <v>689</v>
      </c>
      <c r="R24" s="95" t="s">
        <v>689</v>
      </c>
      <c r="S24" s="60">
        <v>1599</v>
      </c>
      <c r="T24" s="263">
        <f t="shared" si="1"/>
        <v>19188</v>
      </c>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62"/>
      <c r="ER24" s="262"/>
      <c r="ES24" s="262"/>
      <c r="ET24" s="262"/>
      <c r="EU24" s="262"/>
      <c r="EV24" s="262"/>
      <c r="EW24" s="262"/>
      <c r="EX24" s="262"/>
      <c r="EY24" s="262"/>
      <c r="EZ24" s="262"/>
      <c r="FA24" s="262"/>
      <c r="FB24" s="262"/>
      <c r="FC24" s="262"/>
      <c r="FD24" s="262"/>
      <c r="FE24" s="262"/>
      <c r="FF24" s="262"/>
      <c r="FG24" s="262"/>
      <c r="FH24" s="262"/>
      <c r="FI24" s="262"/>
      <c r="FJ24" s="262"/>
      <c r="FK24" s="262"/>
      <c r="FL24" s="262"/>
      <c r="FM24" s="262"/>
      <c r="FN24" s="262"/>
      <c r="FO24" s="262"/>
      <c r="FP24" s="262"/>
      <c r="FQ24" s="262"/>
      <c r="FR24" s="262"/>
      <c r="FS24" s="262"/>
      <c r="FT24" s="262"/>
      <c r="FU24" s="262"/>
      <c r="FV24" s="262"/>
      <c r="FW24" s="262"/>
      <c r="FX24" s="262"/>
      <c r="FY24" s="262"/>
      <c r="FZ24" s="262"/>
      <c r="GA24" s="262"/>
      <c r="GB24" s="262"/>
      <c r="GC24" s="262"/>
      <c r="GD24" s="262"/>
      <c r="GE24" s="262"/>
      <c r="GF24" s="262"/>
      <c r="GG24" s="262"/>
      <c r="GH24" s="262"/>
      <c r="GI24" s="262"/>
      <c r="GJ24" s="262"/>
      <c r="GK24" s="262"/>
      <c r="GL24" s="262"/>
      <c r="GM24" s="262"/>
      <c r="GN24" s="262"/>
      <c r="GO24" s="262"/>
      <c r="GP24" s="262"/>
      <c r="GQ24" s="262"/>
      <c r="GR24" s="262"/>
      <c r="GS24" s="262"/>
      <c r="GT24" s="262"/>
      <c r="GU24" s="262"/>
      <c r="GV24" s="262"/>
      <c r="GW24" s="262"/>
      <c r="GX24" s="262"/>
      <c r="GY24" s="262"/>
      <c r="GZ24" s="262"/>
      <c r="HA24" s="262"/>
      <c r="HB24" s="262"/>
      <c r="HC24" s="262"/>
      <c r="HD24" s="262"/>
      <c r="HE24" s="262"/>
      <c r="HF24" s="262"/>
      <c r="HG24" s="262"/>
      <c r="HH24" s="262"/>
      <c r="HI24" s="262"/>
      <c r="HJ24" s="262"/>
      <c r="HK24" s="262"/>
      <c r="HL24" s="262"/>
      <c r="HM24" s="262"/>
      <c r="HN24" s="262"/>
      <c r="HO24" s="262"/>
      <c r="HP24" s="262"/>
      <c r="HQ24" s="262"/>
      <c r="HR24" s="262"/>
      <c r="HS24" s="262"/>
      <c r="HT24" s="262"/>
      <c r="HU24" s="262"/>
      <c r="HV24" s="262"/>
      <c r="HW24" s="262"/>
      <c r="HX24" s="262"/>
      <c r="HY24" s="262"/>
      <c r="HZ24" s="262"/>
      <c r="IA24" s="262"/>
      <c r="IB24" s="262"/>
      <c r="IC24" s="262"/>
      <c r="ID24" s="262"/>
      <c r="IE24" s="262"/>
      <c r="IF24" s="262"/>
      <c r="IG24" s="262"/>
      <c r="IH24" s="262"/>
      <c r="II24" s="262"/>
      <c r="IJ24" s="262"/>
      <c r="IK24" s="262"/>
      <c r="IL24" s="262"/>
      <c r="IM24" s="262"/>
      <c r="IN24" s="262"/>
      <c r="IO24" s="262"/>
      <c r="IP24" s="262"/>
      <c r="IQ24" s="262"/>
      <c r="IR24" s="262"/>
      <c r="IS24" s="262"/>
      <c r="IT24" s="262"/>
      <c r="IU24" s="262"/>
      <c r="IV24" s="262"/>
      <c r="IW24" s="262"/>
      <c r="IX24" s="262"/>
      <c r="IY24" s="262"/>
      <c r="IZ24" s="262"/>
      <c r="JA24" s="262"/>
      <c r="JB24" s="262"/>
      <c r="JC24" s="262"/>
      <c r="JD24" s="262"/>
      <c r="JE24" s="262"/>
      <c r="JF24" s="262"/>
      <c r="JG24" s="262"/>
      <c r="JH24" s="262"/>
      <c r="JI24" s="262"/>
      <c r="JJ24" s="262"/>
      <c r="JK24" s="262"/>
      <c r="JL24" s="262"/>
      <c r="JM24" s="262"/>
      <c r="JN24" s="262"/>
      <c r="JO24" s="262"/>
      <c r="JP24" s="262"/>
      <c r="JQ24" s="262"/>
      <c r="JR24" s="262"/>
      <c r="JS24" s="262"/>
      <c r="JT24" s="262"/>
      <c r="JU24" s="262"/>
      <c r="JV24" s="262"/>
      <c r="JW24" s="262"/>
      <c r="JX24" s="262"/>
      <c r="JY24" s="262"/>
      <c r="JZ24" s="262"/>
      <c r="KA24" s="262"/>
      <c r="KB24" s="262"/>
      <c r="KC24" s="262"/>
      <c r="KD24" s="262"/>
      <c r="KE24" s="262"/>
      <c r="KF24" s="262"/>
      <c r="KG24" s="262"/>
      <c r="KH24" s="262"/>
      <c r="KI24" s="262"/>
      <c r="KJ24" s="262"/>
      <c r="KK24" s="262"/>
      <c r="KL24" s="262"/>
      <c r="KM24" s="262"/>
      <c r="KN24" s="262"/>
      <c r="KO24" s="262"/>
      <c r="KP24" s="262"/>
      <c r="KQ24" s="262"/>
      <c r="KR24" s="262"/>
      <c r="KS24" s="262"/>
      <c r="KT24" s="262"/>
      <c r="KU24" s="262"/>
      <c r="KV24" s="262"/>
      <c r="KW24" s="262"/>
      <c r="KX24" s="262"/>
      <c r="KY24" s="262"/>
      <c r="KZ24" s="262"/>
    </row>
    <row r="25" spans="1:312" s="85" customFormat="1" ht="50" customHeight="1">
      <c r="A25" s="263" t="s">
        <v>175</v>
      </c>
      <c r="B25" s="264"/>
      <c r="C25" s="86"/>
      <c r="D25" s="86"/>
      <c r="E25" s="60">
        <v>1599</v>
      </c>
      <c r="F25" s="86" t="e">
        <f t="shared" si="0"/>
        <v>#DIV/0!</v>
      </c>
      <c r="G25" s="87">
        <v>12</v>
      </c>
      <c r="H25" s="87">
        <v>12</v>
      </c>
      <c r="I25" s="87"/>
      <c r="J25" s="264" t="s">
        <v>204</v>
      </c>
      <c r="K25" s="265" t="s">
        <v>490</v>
      </c>
      <c r="L25" s="97" t="s">
        <v>335</v>
      </c>
      <c r="M25" s="98"/>
      <c r="N25" s="99" t="s">
        <v>335</v>
      </c>
      <c r="O25" s="99" t="s">
        <v>335</v>
      </c>
      <c r="P25" s="266"/>
      <c r="Q25" s="93" t="s">
        <v>689</v>
      </c>
      <c r="R25" s="93"/>
      <c r="S25" s="60">
        <v>1599</v>
      </c>
      <c r="T25" s="263">
        <f t="shared" si="1"/>
        <v>19188</v>
      </c>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c r="DA25" s="262"/>
      <c r="DB25" s="262"/>
      <c r="DC25" s="262"/>
      <c r="DD25" s="262"/>
      <c r="DE25" s="262"/>
      <c r="DF25" s="262"/>
      <c r="DG25" s="262"/>
      <c r="DH25" s="262"/>
      <c r="DI25" s="262"/>
      <c r="DJ25" s="262"/>
      <c r="DK25" s="262"/>
      <c r="DL25" s="262"/>
      <c r="DM25" s="262"/>
      <c r="DN25" s="262"/>
      <c r="DO25" s="262"/>
      <c r="DP25" s="262"/>
      <c r="DQ25" s="262"/>
      <c r="DR25" s="262"/>
      <c r="DS25" s="262"/>
      <c r="DT25" s="262"/>
      <c r="DU25" s="262"/>
      <c r="DV25" s="262"/>
      <c r="DW25" s="262"/>
      <c r="DX25" s="262"/>
      <c r="DY25" s="262"/>
      <c r="DZ25" s="262"/>
      <c r="EA25" s="262"/>
      <c r="EB25" s="262"/>
      <c r="EC25" s="262"/>
      <c r="ED25" s="262"/>
      <c r="EE25" s="262"/>
      <c r="EF25" s="262"/>
      <c r="EG25" s="262"/>
      <c r="EH25" s="262"/>
      <c r="EI25" s="262"/>
      <c r="EJ25" s="262"/>
      <c r="EK25" s="262"/>
      <c r="EL25" s="262"/>
      <c r="EM25" s="262"/>
      <c r="EN25" s="262"/>
      <c r="EO25" s="262"/>
      <c r="EP25" s="262"/>
      <c r="EQ25" s="262"/>
      <c r="ER25" s="262"/>
      <c r="ES25" s="262"/>
      <c r="ET25" s="262"/>
      <c r="EU25" s="262"/>
      <c r="EV25" s="262"/>
      <c r="EW25" s="262"/>
      <c r="EX25" s="262"/>
      <c r="EY25" s="262"/>
      <c r="EZ25" s="262"/>
      <c r="FA25" s="262"/>
      <c r="FB25" s="262"/>
      <c r="FC25" s="262"/>
      <c r="FD25" s="262"/>
      <c r="FE25" s="262"/>
      <c r="FF25" s="262"/>
      <c r="FG25" s="262"/>
      <c r="FH25" s="262"/>
      <c r="FI25" s="262"/>
      <c r="FJ25" s="262"/>
      <c r="FK25" s="262"/>
      <c r="FL25" s="262"/>
      <c r="FM25" s="262"/>
      <c r="FN25" s="262"/>
      <c r="FO25" s="262"/>
      <c r="FP25" s="262"/>
      <c r="FQ25" s="262"/>
      <c r="FR25" s="262"/>
      <c r="FS25" s="262"/>
      <c r="FT25" s="262"/>
      <c r="FU25" s="262"/>
      <c r="FV25" s="262"/>
      <c r="FW25" s="262"/>
      <c r="FX25" s="262"/>
      <c r="FY25" s="262"/>
      <c r="FZ25" s="262"/>
      <c r="GA25" s="262"/>
      <c r="GB25" s="262"/>
      <c r="GC25" s="262"/>
      <c r="GD25" s="262"/>
      <c r="GE25" s="262"/>
      <c r="GF25" s="262"/>
      <c r="GG25" s="262"/>
      <c r="GH25" s="262"/>
      <c r="GI25" s="262"/>
      <c r="GJ25" s="262"/>
      <c r="GK25" s="262"/>
      <c r="GL25" s="262"/>
      <c r="GM25" s="262"/>
      <c r="GN25" s="262"/>
      <c r="GO25" s="262"/>
      <c r="GP25" s="262"/>
      <c r="GQ25" s="262"/>
      <c r="GR25" s="262"/>
      <c r="GS25" s="262"/>
      <c r="GT25" s="262"/>
      <c r="GU25" s="262"/>
      <c r="GV25" s="262"/>
      <c r="GW25" s="262"/>
      <c r="GX25" s="262"/>
      <c r="GY25" s="262"/>
      <c r="GZ25" s="262"/>
      <c r="HA25" s="262"/>
      <c r="HB25" s="262"/>
      <c r="HC25" s="262"/>
      <c r="HD25" s="262"/>
      <c r="HE25" s="262"/>
      <c r="HF25" s="262"/>
      <c r="HG25" s="262"/>
      <c r="HH25" s="262"/>
      <c r="HI25" s="262"/>
      <c r="HJ25" s="262"/>
      <c r="HK25" s="262"/>
      <c r="HL25" s="262"/>
      <c r="HM25" s="262"/>
      <c r="HN25" s="262"/>
      <c r="HO25" s="262"/>
      <c r="HP25" s="262"/>
      <c r="HQ25" s="262"/>
      <c r="HR25" s="262"/>
      <c r="HS25" s="262"/>
      <c r="HT25" s="262"/>
      <c r="HU25" s="262"/>
      <c r="HV25" s="262"/>
      <c r="HW25" s="262"/>
      <c r="HX25" s="262"/>
      <c r="HY25" s="262"/>
      <c r="HZ25" s="262"/>
      <c r="IA25" s="262"/>
      <c r="IB25" s="262"/>
      <c r="IC25" s="262"/>
      <c r="ID25" s="262"/>
      <c r="IE25" s="262"/>
      <c r="IF25" s="262"/>
      <c r="IG25" s="262"/>
      <c r="IH25" s="262"/>
      <c r="II25" s="262"/>
      <c r="IJ25" s="262"/>
      <c r="IK25" s="262"/>
      <c r="IL25" s="262"/>
      <c r="IM25" s="262"/>
      <c r="IN25" s="262"/>
      <c r="IO25" s="262"/>
      <c r="IP25" s="262"/>
      <c r="IQ25" s="262"/>
      <c r="IR25" s="262"/>
      <c r="IS25" s="262"/>
      <c r="IT25" s="262"/>
      <c r="IU25" s="262"/>
      <c r="IV25" s="262"/>
      <c r="IW25" s="262"/>
      <c r="IX25" s="262"/>
      <c r="IY25" s="262"/>
      <c r="IZ25" s="262"/>
      <c r="JA25" s="262"/>
      <c r="JB25" s="262"/>
      <c r="JC25" s="262"/>
      <c r="JD25" s="262"/>
      <c r="JE25" s="262"/>
      <c r="JF25" s="262"/>
      <c r="JG25" s="262"/>
      <c r="JH25" s="262"/>
      <c r="JI25" s="262"/>
      <c r="JJ25" s="262"/>
      <c r="JK25" s="262"/>
      <c r="JL25" s="262"/>
      <c r="JM25" s="262"/>
      <c r="JN25" s="262"/>
      <c r="JO25" s="262"/>
      <c r="JP25" s="262"/>
      <c r="JQ25" s="262"/>
      <c r="JR25" s="262"/>
      <c r="JS25" s="262"/>
      <c r="JT25" s="262"/>
      <c r="JU25" s="262"/>
      <c r="JV25" s="262"/>
      <c r="JW25" s="262"/>
      <c r="JX25" s="262"/>
      <c r="JY25" s="262"/>
      <c r="JZ25" s="262"/>
      <c r="KA25" s="262"/>
      <c r="KB25" s="262"/>
      <c r="KC25" s="262"/>
      <c r="KD25" s="262"/>
      <c r="KE25" s="262"/>
      <c r="KF25" s="262"/>
      <c r="KG25" s="262"/>
      <c r="KH25" s="262"/>
      <c r="KI25" s="262"/>
      <c r="KJ25" s="262"/>
      <c r="KK25" s="262"/>
      <c r="KL25" s="262"/>
      <c r="KM25" s="262"/>
      <c r="KN25" s="262"/>
      <c r="KO25" s="262"/>
      <c r="KP25" s="262"/>
      <c r="KQ25" s="262"/>
      <c r="KR25" s="262"/>
      <c r="KS25" s="262"/>
      <c r="KT25" s="262"/>
      <c r="KU25" s="262"/>
      <c r="KV25" s="262"/>
      <c r="KW25" s="262"/>
      <c r="KX25" s="262"/>
      <c r="KY25" s="262"/>
      <c r="KZ25" s="262"/>
    </row>
    <row r="26" spans="1:312" s="85" customFormat="1" ht="50" customHeight="1">
      <c r="A26" s="263" t="s">
        <v>150</v>
      </c>
      <c r="B26" s="264"/>
      <c r="C26" s="86"/>
      <c r="D26" s="86"/>
      <c r="E26" s="60">
        <v>1599</v>
      </c>
      <c r="F26" s="86" t="e">
        <f t="shared" si="0"/>
        <v>#DIV/0!</v>
      </c>
      <c r="G26" s="87">
        <v>12</v>
      </c>
      <c r="H26" s="87">
        <v>12</v>
      </c>
      <c r="I26" s="87"/>
      <c r="J26" s="87" t="s">
        <v>204</v>
      </c>
      <c r="K26" s="89" t="s">
        <v>394</v>
      </c>
      <c r="L26" s="90" t="s">
        <v>335</v>
      </c>
      <c r="M26" s="94"/>
      <c r="N26" s="91" t="s">
        <v>335</v>
      </c>
      <c r="O26" s="91" t="s">
        <v>335</v>
      </c>
      <c r="P26" s="92"/>
      <c r="Q26" s="95" t="s">
        <v>689</v>
      </c>
      <c r="R26" s="95"/>
      <c r="S26" s="60">
        <v>1599</v>
      </c>
      <c r="T26" s="263">
        <f t="shared" si="1"/>
        <v>19188</v>
      </c>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2"/>
      <c r="DI26" s="262"/>
      <c r="DJ26" s="262"/>
      <c r="DK26" s="262"/>
      <c r="DL26" s="262"/>
      <c r="DM26" s="262"/>
      <c r="DN26" s="262"/>
      <c r="DO26" s="262"/>
      <c r="DP26" s="262"/>
      <c r="DQ26" s="262"/>
      <c r="DR26" s="262"/>
      <c r="DS26" s="262"/>
      <c r="DT26" s="262"/>
      <c r="DU26" s="262"/>
      <c r="DV26" s="262"/>
      <c r="DW26" s="262"/>
      <c r="DX26" s="262"/>
      <c r="DY26" s="262"/>
      <c r="DZ26" s="262"/>
      <c r="EA26" s="262"/>
      <c r="EB26" s="262"/>
      <c r="EC26" s="262"/>
      <c r="ED26" s="262"/>
      <c r="EE26" s="262"/>
      <c r="EF26" s="262"/>
      <c r="EG26" s="262"/>
      <c r="EH26" s="262"/>
      <c r="EI26" s="262"/>
      <c r="EJ26" s="262"/>
      <c r="EK26" s="262"/>
      <c r="EL26" s="262"/>
      <c r="EM26" s="262"/>
      <c r="EN26" s="262"/>
      <c r="EO26" s="262"/>
      <c r="EP26" s="262"/>
      <c r="EQ26" s="262"/>
      <c r="ER26" s="262"/>
      <c r="ES26" s="262"/>
      <c r="ET26" s="262"/>
      <c r="EU26" s="262"/>
      <c r="EV26" s="262"/>
      <c r="EW26" s="262"/>
      <c r="EX26" s="262"/>
      <c r="EY26" s="262"/>
      <c r="EZ26" s="262"/>
      <c r="FA26" s="262"/>
      <c r="FB26" s="262"/>
      <c r="FC26" s="262"/>
      <c r="FD26" s="262"/>
      <c r="FE26" s="262"/>
      <c r="FF26" s="262"/>
      <c r="FG26" s="262"/>
      <c r="FH26" s="262"/>
      <c r="FI26" s="262"/>
      <c r="FJ26" s="262"/>
      <c r="FK26" s="262"/>
      <c r="FL26" s="262"/>
      <c r="FM26" s="262"/>
      <c r="FN26" s="262"/>
      <c r="FO26" s="262"/>
      <c r="FP26" s="262"/>
      <c r="FQ26" s="262"/>
      <c r="FR26" s="262"/>
      <c r="FS26" s="262"/>
      <c r="FT26" s="262"/>
      <c r="FU26" s="262"/>
      <c r="FV26" s="262"/>
      <c r="FW26" s="262"/>
      <c r="FX26" s="262"/>
      <c r="FY26" s="262"/>
      <c r="FZ26" s="262"/>
      <c r="GA26" s="262"/>
      <c r="GB26" s="262"/>
      <c r="GC26" s="262"/>
      <c r="GD26" s="262"/>
      <c r="GE26" s="262"/>
      <c r="GF26" s="262"/>
      <c r="GG26" s="262"/>
      <c r="GH26" s="262"/>
      <c r="GI26" s="262"/>
      <c r="GJ26" s="262"/>
      <c r="GK26" s="262"/>
      <c r="GL26" s="262"/>
      <c r="GM26" s="262"/>
      <c r="GN26" s="262"/>
      <c r="GO26" s="262"/>
      <c r="GP26" s="262"/>
      <c r="GQ26" s="262"/>
      <c r="GR26" s="262"/>
      <c r="GS26" s="262"/>
      <c r="GT26" s="262"/>
      <c r="GU26" s="262"/>
      <c r="GV26" s="262"/>
      <c r="GW26" s="262"/>
      <c r="GX26" s="262"/>
      <c r="GY26" s="262"/>
      <c r="GZ26" s="262"/>
      <c r="HA26" s="262"/>
      <c r="HB26" s="262"/>
      <c r="HC26" s="262"/>
      <c r="HD26" s="262"/>
      <c r="HE26" s="262"/>
      <c r="HF26" s="262"/>
      <c r="HG26" s="262"/>
      <c r="HH26" s="262"/>
      <c r="HI26" s="262"/>
      <c r="HJ26" s="262"/>
      <c r="HK26" s="262"/>
      <c r="HL26" s="262"/>
      <c r="HM26" s="262"/>
      <c r="HN26" s="262"/>
      <c r="HO26" s="262"/>
      <c r="HP26" s="262"/>
      <c r="HQ26" s="262"/>
      <c r="HR26" s="262"/>
      <c r="HS26" s="262"/>
      <c r="HT26" s="262"/>
      <c r="HU26" s="262"/>
      <c r="HV26" s="262"/>
      <c r="HW26" s="262"/>
      <c r="HX26" s="262"/>
      <c r="HY26" s="262"/>
      <c r="HZ26" s="262"/>
      <c r="IA26" s="262"/>
      <c r="IB26" s="262"/>
      <c r="IC26" s="262"/>
      <c r="ID26" s="262"/>
      <c r="IE26" s="262"/>
      <c r="IF26" s="262"/>
      <c r="IG26" s="262"/>
      <c r="IH26" s="262"/>
      <c r="II26" s="262"/>
      <c r="IJ26" s="262"/>
      <c r="IK26" s="262"/>
      <c r="IL26" s="262"/>
      <c r="IM26" s="262"/>
      <c r="IN26" s="262"/>
      <c r="IO26" s="262"/>
      <c r="IP26" s="262"/>
      <c r="IQ26" s="262"/>
      <c r="IR26" s="262"/>
      <c r="IS26" s="262"/>
      <c r="IT26" s="262"/>
      <c r="IU26" s="262"/>
      <c r="IV26" s="262"/>
      <c r="IW26" s="262"/>
      <c r="IX26" s="262"/>
      <c r="IY26" s="262"/>
      <c r="IZ26" s="262"/>
      <c r="JA26" s="262"/>
      <c r="JB26" s="262"/>
      <c r="JC26" s="262"/>
      <c r="JD26" s="262"/>
      <c r="JE26" s="262"/>
      <c r="JF26" s="262"/>
      <c r="JG26" s="262"/>
      <c r="JH26" s="262"/>
      <c r="JI26" s="262"/>
      <c r="JJ26" s="262"/>
      <c r="JK26" s="262"/>
      <c r="JL26" s="262"/>
      <c r="JM26" s="262"/>
      <c r="JN26" s="262"/>
      <c r="JO26" s="262"/>
      <c r="JP26" s="262"/>
      <c r="JQ26" s="262"/>
      <c r="JR26" s="262"/>
      <c r="JS26" s="262"/>
      <c r="JT26" s="262"/>
      <c r="JU26" s="262"/>
      <c r="JV26" s="262"/>
      <c r="JW26" s="262"/>
      <c r="JX26" s="262"/>
      <c r="JY26" s="262"/>
      <c r="JZ26" s="262"/>
      <c r="KA26" s="262"/>
      <c r="KB26" s="262"/>
      <c r="KC26" s="262"/>
      <c r="KD26" s="262"/>
      <c r="KE26" s="262"/>
      <c r="KF26" s="262"/>
      <c r="KG26" s="262"/>
      <c r="KH26" s="262"/>
      <c r="KI26" s="262"/>
      <c r="KJ26" s="262"/>
      <c r="KK26" s="262"/>
      <c r="KL26" s="262"/>
      <c r="KM26" s="262"/>
      <c r="KN26" s="262"/>
      <c r="KO26" s="262"/>
      <c r="KP26" s="262"/>
      <c r="KQ26" s="262"/>
      <c r="KR26" s="262"/>
      <c r="KS26" s="262"/>
      <c r="KT26" s="262"/>
      <c r="KU26" s="262"/>
      <c r="KV26" s="262"/>
      <c r="KW26" s="262"/>
      <c r="KX26" s="262"/>
      <c r="KY26" s="262"/>
      <c r="KZ26" s="262"/>
    </row>
    <row r="27" spans="1:312" s="85" customFormat="1" ht="50" customHeight="1">
      <c r="A27" s="263" t="s">
        <v>190</v>
      </c>
      <c r="B27" s="264"/>
      <c r="C27" s="86"/>
      <c r="D27" s="86"/>
      <c r="E27" s="60">
        <v>1599</v>
      </c>
      <c r="F27" s="86" t="e">
        <f t="shared" si="0"/>
        <v>#DIV/0!</v>
      </c>
      <c r="G27" s="87">
        <v>12</v>
      </c>
      <c r="H27" s="87">
        <v>12</v>
      </c>
      <c r="I27" s="264"/>
      <c r="J27" s="264" t="s">
        <v>204</v>
      </c>
      <c r="K27" s="265" t="s">
        <v>695</v>
      </c>
      <c r="L27" s="97" t="s">
        <v>335</v>
      </c>
      <c r="M27" s="98"/>
      <c r="N27" s="99" t="s">
        <v>335</v>
      </c>
      <c r="O27" s="99" t="s">
        <v>335</v>
      </c>
      <c r="P27" s="266"/>
      <c r="Q27" s="93" t="s">
        <v>689</v>
      </c>
      <c r="R27" s="93"/>
      <c r="S27" s="60">
        <v>1599</v>
      </c>
      <c r="T27" s="263">
        <f t="shared" si="1"/>
        <v>19188</v>
      </c>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c r="DA27" s="262"/>
      <c r="DB27" s="262"/>
      <c r="DC27" s="262"/>
      <c r="DD27" s="262"/>
      <c r="DE27" s="262"/>
      <c r="DF27" s="262"/>
      <c r="DG27" s="262"/>
      <c r="DH27" s="262"/>
      <c r="DI27" s="262"/>
      <c r="DJ27" s="262"/>
      <c r="DK27" s="262"/>
      <c r="DL27" s="262"/>
      <c r="DM27" s="262"/>
      <c r="DN27" s="262"/>
      <c r="DO27" s="262"/>
      <c r="DP27" s="262"/>
      <c r="DQ27" s="262"/>
      <c r="DR27" s="262"/>
      <c r="DS27" s="262"/>
      <c r="DT27" s="262"/>
      <c r="DU27" s="262"/>
      <c r="DV27" s="262"/>
      <c r="DW27" s="262"/>
      <c r="DX27" s="262"/>
      <c r="DY27" s="262"/>
      <c r="DZ27" s="262"/>
      <c r="EA27" s="262"/>
      <c r="EB27" s="262"/>
      <c r="EC27" s="262"/>
      <c r="ED27" s="262"/>
      <c r="EE27" s="262"/>
      <c r="EF27" s="262"/>
      <c r="EG27" s="262"/>
      <c r="EH27" s="262"/>
      <c r="EI27" s="262"/>
      <c r="EJ27" s="262"/>
      <c r="EK27" s="262"/>
      <c r="EL27" s="262"/>
      <c r="EM27" s="262"/>
      <c r="EN27" s="262"/>
      <c r="EO27" s="262"/>
      <c r="EP27" s="262"/>
      <c r="EQ27" s="262"/>
      <c r="ER27" s="262"/>
      <c r="ES27" s="262"/>
      <c r="ET27" s="262"/>
      <c r="EU27" s="262"/>
      <c r="EV27" s="262"/>
      <c r="EW27" s="262"/>
      <c r="EX27" s="262"/>
      <c r="EY27" s="262"/>
      <c r="EZ27" s="262"/>
      <c r="FA27" s="262"/>
      <c r="FB27" s="262"/>
      <c r="FC27" s="262"/>
      <c r="FD27" s="262"/>
      <c r="FE27" s="262"/>
      <c r="FF27" s="262"/>
      <c r="FG27" s="262"/>
      <c r="FH27" s="262"/>
      <c r="FI27" s="262"/>
      <c r="FJ27" s="262"/>
      <c r="FK27" s="262"/>
      <c r="FL27" s="262"/>
      <c r="FM27" s="262"/>
      <c r="FN27" s="262"/>
      <c r="FO27" s="262"/>
      <c r="FP27" s="262"/>
      <c r="FQ27" s="262"/>
      <c r="FR27" s="262"/>
      <c r="FS27" s="262"/>
      <c r="FT27" s="262"/>
      <c r="FU27" s="262"/>
      <c r="FV27" s="262"/>
      <c r="FW27" s="262"/>
      <c r="FX27" s="262"/>
      <c r="FY27" s="262"/>
      <c r="FZ27" s="262"/>
      <c r="GA27" s="262"/>
      <c r="GB27" s="262"/>
      <c r="GC27" s="262"/>
      <c r="GD27" s="262"/>
      <c r="GE27" s="262"/>
      <c r="GF27" s="262"/>
      <c r="GG27" s="262"/>
      <c r="GH27" s="262"/>
      <c r="GI27" s="262"/>
      <c r="GJ27" s="262"/>
      <c r="GK27" s="262"/>
      <c r="GL27" s="262"/>
      <c r="GM27" s="262"/>
      <c r="GN27" s="262"/>
      <c r="GO27" s="262"/>
      <c r="GP27" s="262"/>
      <c r="GQ27" s="262"/>
      <c r="GR27" s="262"/>
      <c r="GS27" s="262"/>
      <c r="GT27" s="262"/>
      <c r="GU27" s="262"/>
      <c r="GV27" s="262"/>
      <c r="GW27" s="262"/>
      <c r="GX27" s="262"/>
      <c r="GY27" s="262"/>
      <c r="GZ27" s="262"/>
      <c r="HA27" s="262"/>
      <c r="HB27" s="262"/>
      <c r="HC27" s="262"/>
      <c r="HD27" s="262"/>
      <c r="HE27" s="262"/>
      <c r="HF27" s="262"/>
      <c r="HG27" s="262"/>
      <c r="HH27" s="262"/>
      <c r="HI27" s="262"/>
      <c r="HJ27" s="262"/>
      <c r="HK27" s="262"/>
      <c r="HL27" s="262"/>
      <c r="HM27" s="262"/>
      <c r="HN27" s="262"/>
      <c r="HO27" s="262"/>
      <c r="HP27" s="262"/>
      <c r="HQ27" s="262"/>
      <c r="HR27" s="262"/>
      <c r="HS27" s="262"/>
      <c r="HT27" s="262"/>
      <c r="HU27" s="262"/>
      <c r="HV27" s="262"/>
      <c r="HW27" s="262"/>
      <c r="HX27" s="262"/>
      <c r="HY27" s="262"/>
      <c r="HZ27" s="262"/>
      <c r="IA27" s="262"/>
      <c r="IB27" s="262"/>
      <c r="IC27" s="262"/>
      <c r="ID27" s="262"/>
      <c r="IE27" s="262"/>
      <c r="IF27" s="262"/>
      <c r="IG27" s="262"/>
      <c r="IH27" s="262"/>
      <c r="II27" s="262"/>
      <c r="IJ27" s="262"/>
      <c r="IK27" s="262"/>
      <c r="IL27" s="262"/>
      <c r="IM27" s="262"/>
      <c r="IN27" s="262"/>
      <c r="IO27" s="262"/>
      <c r="IP27" s="262"/>
      <c r="IQ27" s="262"/>
      <c r="IR27" s="262"/>
      <c r="IS27" s="262"/>
      <c r="IT27" s="262"/>
      <c r="IU27" s="262"/>
      <c r="IV27" s="262"/>
      <c r="IW27" s="262"/>
      <c r="IX27" s="262"/>
      <c r="IY27" s="262"/>
      <c r="IZ27" s="262"/>
      <c r="JA27" s="262"/>
      <c r="JB27" s="262"/>
      <c r="JC27" s="262"/>
      <c r="JD27" s="262"/>
      <c r="JE27" s="262"/>
      <c r="JF27" s="262"/>
      <c r="JG27" s="262"/>
      <c r="JH27" s="262"/>
      <c r="JI27" s="262"/>
      <c r="JJ27" s="262"/>
      <c r="JK27" s="262"/>
      <c r="JL27" s="262"/>
      <c r="JM27" s="262"/>
      <c r="JN27" s="262"/>
      <c r="JO27" s="262"/>
      <c r="JP27" s="262"/>
      <c r="JQ27" s="262"/>
      <c r="JR27" s="262"/>
      <c r="JS27" s="262"/>
      <c r="JT27" s="262"/>
      <c r="JU27" s="262"/>
      <c r="JV27" s="262"/>
      <c r="JW27" s="262"/>
      <c r="JX27" s="262"/>
      <c r="JY27" s="262"/>
      <c r="JZ27" s="262"/>
      <c r="KA27" s="262"/>
      <c r="KB27" s="262"/>
      <c r="KC27" s="262"/>
      <c r="KD27" s="262"/>
      <c r="KE27" s="262"/>
      <c r="KF27" s="262"/>
      <c r="KG27" s="262"/>
      <c r="KH27" s="262"/>
      <c r="KI27" s="262"/>
      <c r="KJ27" s="262"/>
      <c r="KK27" s="262"/>
      <c r="KL27" s="262"/>
      <c r="KM27" s="262"/>
      <c r="KN27" s="262"/>
      <c r="KO27" s="262"/>
      <c r="KP27" s="262"/>
      <c r="KQ27" s="262"/>
      <c r="KR27" s="262"/>
      <c r="KS27" s="262"/>
      <c r="KT27" s="262"/>
      <c r="KU27" s="262"/>
      <c r="KV27" s="262"/>
      <c r="KW27" s="262"/>
      <c r="KX27" s="262"/>
      <c r="KY27" s="262"/>
      <c r="KZ27" s="262"/>
    </row>
    <row r="28" spans="1:312" s="85" customFormat="1" ht="50" customHeight="1">
      <c r="A28" s="263" t="s">
        <v>91</v>
      </c>
      <c r="B28" s="264">
        <v>462637</v>
      </c>
      <c r="C28" s="86"/>
      <c r="D28" s="86"/>
      <c r="E28" s="60">
        <v>184</v>
      </c>
      <c r="F28" s="86" t="e">
        <f t="shared" si="0"/>
        <v>#DIV/0!</v>
      </c>
      <c r="G28" s="87">
        <v>12</v>
      </c>
      <c r="H28" s="87">
        <v>12</v>
      </c>
      <c r="I28" s="87"/>
      <c r="J28" s="87" t="s">
        <v>240</v>
      </c>
      <c r="K28" s="89" t="s">
        <v>238</v>
      </c>
      <c r="L28" s="94"/>
      <c r="M28" s="90" t="s">
        <v>689</v>
      </c>
      <c r="N28" s="91"/>
      <c r="O28" s="91" t="s">
        <v>335</v>
      </c>
      <c r="P28" s="92"/>
      <c r="Q28" s="95" t="s">
        <v>689</v>
      </c>
      <c r="R28" s="95" t="s">
        <v>689</v>
      </c>
      <c r="S28" s="60">
        <v>184</v>
      </c>
      <c r="T28" s="263">
        <f t="shared" si="1"/>
        <v>2208</v>
      </c>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c r="HL28" s="262"/>
      <c r="HM28" s="262"/>
      <c r="HN28" s="262"/>
      <c r="HO28" s="262"/>
      <c r="HP28" s="262"/>
      <c r="HQ28" s="262"/>
      <c r="HR28" s="262"/>
      <c r="HS28" s="262"/>
      <c r="HT28" s="262"/>
      <c r="HU28" s="262"/>
      <c r="HV28" s="262"/>
      <c r="HW28" s="262"/>
      <c r="HX28" s="262"/>
      <c r="HY28" s="262"/>
      <c r="HZ28" s="262"/>
      <c r="IA28" s="262"/>
      <c r="IB28" s="262"/>
      <c r="IC28" s="262"/>
      <c r="ID28" s="262"/>
      <c r="IE28" s="262"/>
      <c r="IF28" s="262"/>
      <c r="IG28" s="262"/>
      <c r="IH28" s="262"/>
      <c r="II28" s="262"/>
      <c r="IJ28" s="262"/>
      <c r="IK28" s="262"/>
      <c r="IL28" s="262"/>
      <c r="IM28" s="262"/>
      <c r="IN28" s="262"/>
      <c r="IO28" s="262"/>
      <c r="IP28" s="262"/>
      <c r="IQ28" s="262"/>
      <c r="IR28" s="262"/>
      <c r="IS28" s="262"/>
      <c r="IT28" s="262"/>
      <c r="IU28" s="262"/>
      <c r="IV28" s="262"/>
      <c r="IW28" s="262"/>
      <c r="IX28" s="262"/>
      <c r="IY28" s="262"/>
      <c r="IZ28" s="262"/>
      <c r="JA28" s="262"/>
      <c r="JB28" s="262"/>
      <c r="JC28" s="262"/>
      <c r="JD28" s="262"/>
      <c r="JE28" s="262"/>
      <c r="JF28" s="262"/>
      <c r="JG28" s="262"/>
      <c r="JH28" s="262"/>
      <c r="JI28" s="262"/>
      <c r="JJ28" s="262"/>
      <c r="JK28" s="262"/>
      <c r="JL28" s="262"/>
      <c r="JM28" s="262"/>
      <c r="JN28" s="262"/>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2"/>
      <c r="KM28" s="262"/>
      <c r="KN28" s="262"/>
      <c r="KO28" s="262"/>
      <c r="KP28" s="262"/>
      <c r="KQ28" s="262"/>
      <c r="KR28" s="262"/>
      <c r="KS28" s="262"/>
      <c r="KT28" s="262"/>
      <c r="KU28" s="262"/>
      <c r="KV28" s="262"/>
      <c r="KW28" s="262"/>
      <c r="KX28" s="262"/>
      <c r="KY28" s="262"/>
      <c r="KZ28" s="262"/>
    </row>
    <row r="29" spans="1:312" s="85" customFormat="1" ht="50" customHeight="1">
      <c r="A29" s="263" t="s">
        <v>99</v>
      </c>
      <c r="B29" s="264"/>
      <c r="C29" s="86"/>
      <c r="D29" s="86"/>
      <c r="E29" s="60">
        <v>184</v>
      </c>
      <c r="F29" s="86" t="e">
        <f t="shared" si="0"/>
        <v>#DIV/0!</v>
      </c>
      <c r="G29" s="87">
        <v>12</v>
      </c>
      <c r="H29" s="87">
        <v>12</v>
      </c>
      <c r="I29" s="87"/>
      <c r="J29" s="87" t="s">
        <v>240</v>
      </c>
      <c r="K29" s="89" t="s">
        <v>262</v>
      </c>
      <c r="L29" s="94"/>
      <c r="M29" s="90" t="s">
        <v>689</v>
      </c>
      <c r="N29" s="91"/>
      <c r="O29" s="91" t="s">
        <v>335</v>
      </c>
      <c r="P29" s="92"/>
      <c r="Q29" s="95" t="s">
        <v>689</v>
      </c>
      <c r="R29" s="95" t="s">
        <v>689</v>
      </c>
      <c r="S29" s="60">
        <v>184</v>
      </c>
      <c r="T29" s="263">
        <f t="shared" si="1"/>
        <v>2208</v>
      </c>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c r="KT29" s="262"/>
      <c r="KU29" s="262"/>
      <c r="KV29" s="262"/>
      <c r="KW29" s="262"/>
      <c r="KX29" s="262"/>
      <c r="KY29" s="262"/>
      <c r="KZ29" s="262"/>
    </row>
    <row r="30" spans="1:312" s="85" customFormat="1" ht="50" customHeight="1">
      <c r="A30" s="263" t="s">
        <v>138</v>
      </c>
      <c r="B30" s="264">
        <v>22957</v>
      </c>
      <c r="C30" s="86"/>
      <c r="D30" s="86"/>
      <c r="E30" s="60">
        <v>1715</v>
      </c>
      <c r="F30" s="86" t="e">
        <f t="shared" si="0"/>
        <v>#DIV/0!</v>
      </c>
      <c r="G30" s="87">
        <v>11</v>
      </c>
      <c r="H30" s="87">
        <v>11</v>
      </c>
      <c r="I30" s="87"/>
      <c r="J30" s="87" t="s">
        <v>204</v>
      </c>
      <c r="K30" s="89" t="s">
        <v>360</v>
      </c>
      <c r="L30" s="90" t="s">
        <v>689</v>
      </c>
      <c r="M30" s="90" t="s">
        <v>689</v>
      </c>
      <c r="N30" s="91" t="s">
        <v>335</v>
      </c>
      <c r="O30" s="91" t="s">
        <v>335</v>
      </c>
      <c r="P30" s="92"/>
      <c r="Q30" s="95" t="s">
        <v>689</v>
      </c>
      <c r="R30" s="95" t="s">
        <v>689</v>
      </c>
      <c r="S30" s="60">
        <v>1715</v>
      </c>
      <c r="T30" s="263">
        <f t="shared" si="1"/>
        <v>18865</v>
      </c>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row>
    <row r="31" spans="1:312" s="85" customFormat="1" ht="50" customHeight="1">
      <c r="A31" s="263" t="s">
        <v>145</v>
      </c>
      <c r="B31" s="264">
        <v>22956</v>
      </c>
      <c r="C31" s="86"/>
      <c r="D31" s="86"/>
      <c r="E31" s="60">
        <v>1715</v>
      </c>
      <c r="F31" s="86" t="e">
        <f t="shared" si="0"/>
        <v>#DIV/0!</v>
      </c>
      <c r="G31" s="87">
        <v>10</v>
      </c>
      <c r="H31" s="87">
        <v>10</v>
      </c>
      <c r="I31" s="87"/>
      <c r="J31" s="87" t="s">
        <v>204</v>
      </c>
      <c r="K31" s="89" t="s">
        <v>383</v>
      </c>
      <c r="L31" s="90" t="s">
        <v>689</v>
      </c>
      <c r="M31" s="90" t="s">
        <v>689</v>
      </c>
      <c r="N31" s="91" t="s">
        <v>335</v>
      </c>
      <c r="O31" s="91" t="s">
        <v>335</v>
      </c>
      <c r="P31" s="92"/>
      <c r="Q31" s="95" t="s">
        <v>689</v>
      </c>
      <c r="R31" s="95" t="s">
        <v>689</v>
      </c>
      <c r="S31" s="60">
        <v>1715</v>
      </c>
      <c r="T31" s="263">
        <f t="shared" si="1"/>
        <v>17150</v>
      </c>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row>
    <row r="32" spans="1:312" s="85" customFormat="1" ht="50" customHeight="1">
      <c r="A32" s="263" t="s">
        <v>316</v>
      </c>
      <c r="B32" s="264"/>
      <c r="C32" s="86"/>
      <c r="D32" s="86"/>
      <c r="E32" s="60">
        <v>68</v>
      </c>
      <c r="F32" s="86" t="e">
        <f t="shared" si="0"/>
        <v>#DIV/0!</v>
      </c>
      <c r="G32" s="87">
        <v>10</v>
      </c>
      <c r="H32" s="87">
        <v>10</v>
      </c>
      <c r="I32" s="87"/>
      <c r="J32" s="87" t="s">
        <v>204</v>
      </c>
      <c r="K32" s="89" t="s">
        <v>317</v>
      </c>
      <c r="L32" s="94"/>
      <c r="M32" s="94"/>
      <c r="N32" s="91"/>
      <c r="O32" s="91" t="s">
        <v>335</v>
      </c>
      <c r="P32" s="92"/>
      <c r="Q32" s="95" t="s">
        <v>689</v>
      </c>
      <c r="R32" s="95" t="s">
        <v>689</v>
      </c>
      <c r="S32" s="60">
        <v>68</v>
      </c>
      <c r="T32" s="263">
        <f t="shared" si="1"/>
        <v>680</v>
      </c>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row>
    <row r="33" spans="1:312" s="85" customFormat="1" ht="50" customHeight="1">
      <c r="A33" s="272" t="s">
        <v>165</v>
      </c>
      <c r="B33" s="264"/>
      <c r="C33" s="86"/>
      <c r="D33" s="86"/>
      <c r="E33" s="60">
        <v>1715</v>
      </c>
      <c r="F33" s="86" t="e">
        <f t="shared" si="0"/>
        <v>#DIV/0!</v>
      </c>
      <c r="G33" s="87">
        <v>10</v>
      </c>
      <c r="H33" s="87">
        <v>10</v>
      </c>
      <c r="I33" s="87"/>
      <c r="J33" s="87" t="s">
        <v>204</v>
      </c>
      <c r="K33" s="89" t="s">
        <v>442</v>
      </c>
      <c r="L33" s="90" t="s">
        <v>689</v>
      </c>
      <c r="M33" s="90" t="s">
        <v>689</v>
      </c>
      <c r="N33" s="91" t="s">
        <v>335</v>
      </c>
      <c r="O33" s="91" t="s">
        <v>335</v>
      </c>
      <c r="P33" s="92"/>
      <c r="Q33" s="95" t="s">
        <v>689</v>
      </c>
      <c r="R33" s="95" t="s">
        <v>689</v>
      </c>
      <c r="S33" s="60">
        <v>1715</v>
      </c>
      <c r="T33" s="263">
        <f t="shared" si="1"/>
        <v>17150</v>
      </c>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row>
    <row r="34" spans="1:312" s="85" customFormat="1" ht="50" customHeight="1">
      <c r="A34" s="272" t="s">
        <v>166</v>
      </c>
      <c r="B34" s="264"/>
      <c r="C34" s="86"/>
      <c r="D34" s="86"/>
      <c r="E34" s="60">
        <v>1715</v>
      </c>
      <c r="F34" s="86" t="e">
        <f t="shared" si="0"/>
        <v>#DIV/0!</v>
      </c>
      <c r="G34" s="87">
        <v>10</v>
      </c>
      <c r="H34" s="87">
        <v>10</v>
      </c>
      <c r="I34" s="87"/>
      <c r="J34" s="87" t="s">
        <v>204</v>
      </c>
      <c r="K34" s="89" t="s">
        <v>444</v>
      </c>
      <c r="L34" s="90" t="s">
        <v>689</v>
      </c>
      <c r="M34" s="90" t="s">
        <v>689</v>
      </c>
      <c r="N34" s="91" t="s">
        <v>335</v>
      </c>
      <c r="O34" s="91" t="s">
        <v>335</v>
      </c>
      <c r="P34" s="92"/>
      <c r="Q34" s="95" t="s">
        <v>689</v>
      </c>
      <c r="R34" s="95" t="s">
        <v>689</v>
      </c>
      <c r="S34" s="60">
        <v>1715</v>
      </c>
      <c r="T34" s="263">
        <f t="shared" si="1"/>
        <v>17150</v>
      </c>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row>
    <row r="35" spans="1:312" s="85" customFormat="1" ht="50" customHeight="1">
      <c r="A35" s="263" t="s">
        <v>171</v>
      </c>
      <c r="B35" s="264"/>
      <c r="C35" s="86"/>
      <c r="D35" s="86"/>
      <c r="E35" s="60">
        <v>1599</v>
      </c>
      <c r="F35" s="86" t="e">
        <f t="shared" si="0"/>
        <v>#DIV/0!</v>
      </c>
      <c r="G35" s="87">
        <v>10</v>
      </c>
      <c r="H35" s="87">
        <v>10</v>
      </c>
      <c r="I35" s="87"/>
      <c r="J35" s="264" t="s">
        <v>204</v>
      </c>
      <c r="K35" s="265" t="s">
        <v>479</v>
      </c>
      <c r="L35" s="97" t="s">
        <v>689</v>
      </c>
      <c r="M35" s="98"/>
      <c r="N35" s="99" t="s">
        <v>335</v>
      </c>
      <c r="O35" s="99" t="s">
        <v>335</v>
      </c>
      <c r="P35" s="266"/>
      <c r="Q35" s="93" t="s">
        <v>689</v>
      </c>
      <c r="R35" s="93"/>
      <c r="S35" s="60">
        <v>1599</v>
      </c>
      <c r="T35" s="263">
        <f t="shared" si="1"/>
        <v>15990</v>
      </c>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row>
    <row r="36" spans="1:312" s="85" customFormat="1" ht="50" customHeight="1">
      <c r="A36" s="263" t="s">
        <v>81</v>
      </c>
      <c r="B36" s="264"/>
      <c r="C36" s="86"/>
      <c r="D36" s="86"/>
      <c r="E36" s="60">
        <v>1715</v>
      </c>
      <c r="F36" s="86" t="e">
        <f t="shared" si="0"/>
        <v>#DIV/0!</v>
      </c>
      <c r="G36" s="87">
        <v>10</v>
      </c>
      <c r="H36" s="87">
        <v>10</v>
      </c>
      <c r="I36" s="87"/>
      <c r="J36" s="87" t="s">
        <v>204</v>
      </c>
      <c r="K36" s="89" t="s">
        <v>213</v>
      </c>
      <c r="L36" s="90" t="s">
        <v>689</v>
      </c>
      <c r="M36" s="90" t="s">
        <v>689</v>
      </c>
      <c r="N36" s="91" t="s">
        <v>335</v>
      </c>
      <c r="O36" s="91" t="s">
        <v>335</v>
      </c>
      <c r="P36" s="92"/>
      <c r="Q36" s="95" t="s">
        <v>689</v>
      </c>
      <c r="R36" s="95" t="s">
        <v>689</v>
      </c>
      <c r="S36" s="60">
        <v>1715</v>
      </c>
      <c r="T36" s="263">
        <f t="shared" si="1"/>
        <v>17150</v>
      </c>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row>
    <row r="37" spans="1:312" s="85" customFormat="1" ht="50" customHeight="1">
      <c r="A37" s="263" t="s">
        <v>193</v>
      </c>
      <c r="B37" s="264"/>
      <c r="C37" s="86"/>
      <c r="D37" s="86"/>
      <c r="E37" s="60">
        <v>1715</v>
      </c>
      <c r="F37" s="86" t="e">
        <f t="shared" si="0"/>
        <v>#DIV/0!</v>
      </c>
      <c r="G37" s="87">
        <v>10</v>
      </c>
      <c r="H37" s="87">
        <v>10</v>
      </c>
      <c r="I37" s="264"/>
      <c r="J37" s="264" t="s">
        <v>204</v>
      </c>
      <c r="K37" s="265" t="s">
        <v>696</v>
      </c>
      <c r="L37" s="97" t="s">
        <v>689</v>
      </c>
      <c r="M37" s="90" t="s">
        <v>689</v>
      </c>
      <c r="N37" s="99" t="s">
        <v>335</v>
      </c>
      <c r="O37" s="99" t="s">
        <v>335</v>
      </c>
      <c r="P37" s="266"/>
      <c r="Q37" s="93" t="s">
        <v>689</v>
      </c>
      <c r="R37" s="93" t="s">
        <v>689</v>
      </c>
      <c r="S37" s="60">
        <v>1715</v>
      </c>
      <c r="T37" s="263">
        <f t="shared" si="1"/>
        <v>17150</v>
      </c>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c r="DA37" s="262"/>
      <c r="DB37" s="262"/>
      <c r="DC37" s="262"/>
      <c r="DD37" s="262"/>
      <c r="DE37" s="262"/>
      <c r="DF37" s="262"/>
      <c r="DG37" s="262"/>
      <c r="DH37" s="262"/>
      <c r="DI37" s="262"/>
      <c r="DJ37" s="262"/>
      <c r="DK37" s="262"/>
      <c r="DL37" s="262"/>
      <c r="DM37" s="262"/>
      <c r="DN37" s="262"/>
      <c r="DO37" s="262"/>
      <c r="DP37" s="262"/>
      <c r="DQ37" s="262"/>
      <c r="DR37" s="262"/>
      <c r="DS37" s="262"/>
      <c r="DT37" s="262"/>
      <c r="DU37" s="262"/>
      <c r="DV37" s="262"/>
      <c r="DW37" s="262"/>
      <c r="DX37" s="262"/>
      <c r="DY37" s="262"/>
      <c r="DZ37" s="262"/>
      <c r="EA37" s="262"/>
      <c r="EB37" s="262"/>
      <c r="EC37" s="262"/>
      <c r="ED37" s="262"/>
      <c r="EE37" s="262"/>
      <c r="EF37" s="262"/>
      <c r="EG37" s="262"/>
      <c r="EH37" s="262"/>
      <c r="EI37" s="262"/>
      <c r="EJ37" s="262"/>
      <c r="EK37" s="262"/>
      <c r="EL37" s="262"/>
      <c r="EM37" s="262"/>
      <c r="EN37" s="262"/>
      <c r="EO37" s="262"/>
      <c r="EP37" s="262"/>
      <c r="EQ37" s="262"/>
      <c r="ER37" s="262"/>
      <c r="ES37" s="262"/>
      <c r="ET37" s="262"/>
      <c r="EU37" s="262"/>
      <c r="EV37" s="262"/>
      <c r="EW37" s="262"/>
      <c r="EX37" s="262"/>
      <c r="EY37" s="262"/>
      <c r="EZ37" s="262"/>
      <c r="FA37" s="262"/>
      <c r="FB37" s="262"/>
      <c r="FC37" s="262"/>
      <c r="FD37" s="262"/>
      <c r="FE37" s="262"/>
      <c r="FF37" s="262"/>
      <c r="FG37" s="262"/>
      <c r="FH37" s="262"/>
      <c r="FI37" s="262"/>
      <c r="FJ37" s="262"/>
      <c r="FK37" s="262"/>
      <c r="FL37" s="262"/>
      <c r="FM37" s="262"/>
      <c r="FN37" s="262"/>
      <c r="FO37" s="262"/>
      <c r="FP37" s="262"/>
      <c r="FQ37" s="262"/>
      <c r="FR37" s="262"/>
      <c r="FS37" s="262"/>
      <c r="FT37" s="262"/>
      <c r="FU37" s="262"/>
      <c r="FV37" s="262"/>
      <c r="FW37" s="262"/>
      <c r="FX37" s="262"/>
      <c r="FY37" s="262"/>
      <c r="FZ37" s="262"/>
      <c r="GA37" s="262"/>
      <c r="GB37" s="262"/>
      <c r="GC37" s="262"/>
      <c r="GD37" s="262"/>
      <c r="GE37" s="262"/>
      <c r="GF37" s="262"/>
      <c r="GG37" s="262"/>
      <c r="GH37" s="262"/>
      <c r="GI37" s="262"/>
      <c r="GJ37" s="262"/>
      <c r="GK37" s="262"/>
      <c r="GL37" s="262"/>
      <c r="GM37" s="262"/>
      <c r="GN37" s="262"/>
      <c r="GO37" s="262"/>
      <c r="GP37" s="262"/>
      <c r="GQ37" s="262"/>
      <c r="GR37" s="262"/>
      <c r="GS37" s="262"/>
      <c r="GT37" s="262"/>
      <c r="GU37" s="262"/>
      <c r="GV37" s="262"/>
      <c r="GW37" s="262"/>
      <c r="GX37" s="262"/>
      <c r="GY37" s="262"/>
      <c r="GZ37" s="262"/>
      <c r="HA37" s="262"/>
      <c r="HB37" s="262"/>
      <c r="HC37" s="262"/>
      <c r="HD37" s="262"/>
      <c r="HE37" s="262"/>
      <c r="HF37" s="262"/>
      <c r="HG37" s="262"/>
      <c r="HH37" s="262"/>
      <c r="HI37" s="262"/>
      <c r="HJ37" s="262"/>
      <c r="HK37" s="262"/>
      <c r="HL37" s="262"/>
      <c r="HM37" s="262"/>
      <c r="HN37" s="262"/>
      <c r="HO37" s="262"/>
      <c r="HP37" s="262"/>
      <c r="HQ37" s="262"/>
      <c r="HR37" s="262"/>
      <c r="HS37" s="262"/>
      <c r="HT37" s="262"/>
      <c r="HU37" s="262"/>
      <c r="HV37" s="262"/>
      <c r="HW37" s="262"/>
      <c r="HX37" s="262"/>
      <c r="HY37" s="262"/>
      <c r="HZ37" s="262"/>
      <c r="IA37" s="262"/>
      <c r="IB37" s="262"/>
      <c r="IC37" s="262"/>
      <c r="ID37" s="262"/>
      <c r="IE37" s="262"/>
      <c r="IF37" s="262"/>
      <c r="IG37" s="262"/>
      <c r="IH37" s="262"/>
      <c r="II37" s="262"/>
      <c r="IJ37" s="262"/>
      <c r="IK37" s="262"/>
      <c r="IL37" s="262"/>
      <c r="IM37" s="262"/>
      <c r="IN37" s="262"/>
      <c r="IO37" s="262"/>
      <c r="IP37" s="262"/>
      <c r="IQ37" s="262"/>
      <c r="IR37" s="262"/>
      <c r="IS37" s="262"/>
      <c r="IT37" s="262"/>
      <c r="IU37" s="262"/>
      <c r="IV37" s="262"/>
      <c r="IW37" s="262"/>
      <c r="IX37" s="262"/>
      <c r="IY37" s="262"/>
      <c r="IZ37" s="262"/>
      <c r="JA37" s="262"/>
      <c r="JB37" s="262"/>
      <c r="JC37" s="262"/>
      <c r="JD37" s="262"/>
      <c r="JE37" s="262"/>
      <c r="JF37" s="262"/>
      <c r="JG37" s="262"/>
      <c r="JH37" s="262"/>
      <c r="JI37" s="262"/>
      <c r="JJ37" s="262"/>
      <c r="JK37" s="262"/>
      <c r="JL37" s="262"/>
      <c r="JM37" s="262"/>
      <c r="JN37" s="262"/>
      <c r="JO37" s="262"/>
      <c r="JP37" s="262"/>
      <c r="JQ37" s="262"/>
      <c r="JR37" s="262"/>
      <c r="JS37" s="262"/>
      <c r="JT37" s="262"/>
      <c r="JU37" s="262"/>
      <c r="JV37" s="262"/>
      <c r="JW37" s="262"/>
      <c r="JX37" s="262"/>
      <c r="JY37" s="262"/>
      <c r="JZ37" s="262"/>
      <c r="KA37" s="262"/>
      <c r="KB37" s="262"/>
      <c r="KC37" s="262"/>
      <c r="KD37" s="262"/>
      <c r="KE37" s="262"/>
      <c r="KF37" s="262"/>
      <c r="KG37" s="262"/>
      <c r="KH37" s="262"/>
      <c r="KI37" s="262"/>
      <c r="KJ37" s="262"/>
      <c r="KK37" s="262"/>
      <c r="KL37" s="262"/>
      <c r="KM37" s="262"/>
      <c r="KN37" s="262"/>
      <c r="KO37" s="262"/>
      <c r="KP37" s="262"/>
      <c r="KQ37" s="262"/>
      <c r="KR37" s="262"/>
      <c r="KS37" s="262"/>
      <c r="KT37" s="262"/>
      <c r="KU37" s="262"/>
      <c r="KV37" s="262"/>
      <c r="KW37" s="262"/>
      <c r="KX37" s="262"/>
      <c r="KY37" s="262"/>
      <c r="KZ37" s="262"/>
    </row>
    <row r="38" spans="1:312" s="85" customFormat="1" ht="50" customHeight="1">
      <c r="A38" s="263" t="s">
        <v>457</v>
      </c>
      <c r="B38" s="264"/>
      <c r="C38" s="86"/>
      <c r="D38" s="86"/>
      <c r="E38" s="60">
        <v>68</v>
      </c>
      <c r="F38" s="86" t="e">
        <f t="shared" si="0"/>
        <v>#DIV/0!</v>
      </c>
      <c r="G38" s="87">
        <v>10</v>
      </c>
      <c r="H38" s="87">
        <v>10</v>
      </c>
      <c r="I38" s="87"/>
      <c r="J38" s="264" t="s">
        <v>217</v>
      </c>
      <c r="K38" s="265" t="s">
        <v>697</v>
      </c>
      <c r="L38" s="98"/>
      <c r="M38" s="98"/>
      <c r="N38" s="99"/>
      <c r="O38" s="99" t="s">
        <v>335</v>
      </c>
      <c r="P38" s="266"/>
      <c r="Q38" s="93" t="s">
        <v>689</v>
      </c>
      <c r="R38" s="93"/>
      <c r="S38" s="60">
        <v>68</v>
      </c>
      <c r="T38" s="263">
        <f t="shared" si="1"/>
        <v>680</v>
      </c>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c r="DS38" s="262"/>
      <c r="DT38" s="262"/>
      <c r="DU38" s="262"/>
      <c r="DV38" s="262"/>
      <c r="DW38" s="262"/>
      <c r="DX38" s="262"/>
      <c r="DY38" s="262"/>
      <c r="DZ38" s="262"/>
      <c r="EA38" s="262"/>
      <c r="EB38" s="262"/>
      <c r="EC38" s="262"/>
      <c r="ED38" s="262"/>
      <c r="EE38" s="262"/>
      <c r="EF38" s="262"/>
      <c r="EG38" s="262"/>
      <c r="EH38" s="262"/>
      <c r="EI38" s="262"/>
      <c r="EJ38" s="262"/>
      <c r="EK38" s="262"/>
      <c r="EL38" s="262"/>
      <c r="EM38" s="262"/>
      <c r="EN38" s="262"/>
      <c r="EO38" s="262"/>
      <c r="EP38" s="262"/>
      <c r="EQ38" s="262"/>
      <c r="ER38" s="262"/>
      <c r="ES38" s="262"/>
      <c r="ET38" s="262"/>
      <c r="EU38" s="262"/>
      <c r="EV38" s="262"/>
      <c r="EW38" s="262"/>
      <c r="EX38" s="262"/>
      <c r="EY38" s="262"/>
      <c r="EZ38" s="262"/>
      <c r="FA38" s="262"/>
      <c r="FB38" s="262"/>
      <c r="FC38" s="262"/>
      <c r="FD38" s="262"/>
      <c r="FE38" s="262"/>
      <c r="FF38" s="262"/>
      <c r="FG38" s="262"/>
      <c r="FH38" s="262"/>
      <c r="FI38" s="262"/>
      <c r="FJ38" s="262"/>
      <c r="FK38" s="262"/>
      <c r="FL38" s="262"/>
      <c r="FM38" s="262"/>
      <c r="FN38" s="262"/>
      <c r="FO38" s="262"/>
      <c r="FP38" s="262"/>
      <c r="FQ38" s="262"/>
      <c r="FR38" s="262"/>
      <c r="FS38" s="262"/>
      <c r="FT38" s="262"/>
      <c r="FU38" s="262"/>
      <c r="FV38" s="262"/>
      <c r="FW38" s="262"/>
      <c r="FX38" s="262"/>
      <c r="FY38" s="262"/>
      <c r="FZ38" s="262"/>
      <c r="GA38" s="262"/>
      <c r="GB38" s="262"/>
      <c r="GC38" s="262"/>
      <c r="GD38" s="262"/>
      <c r="GE38" s="262"/>
      <c r="GF38" s="262"/>
      <c r="GG38" s="262"/>
      <c r="GH38" s="262"/>
      <c r="GI38" s="262"/>
      <c r="GJ38" s="262"/>
      <c r="GK38" s="262"/>
      <c r="GL38" s="262"/>
      <c r="GM38" s="262"/>
      <c r="GN38" s="262"/>
      <c r="GO38" s="262"/>
      <c r="GP38" s="262"/>
      <c r="GQ38" s="262"/>
      <c r="GR38" s="262"/>
      <c r="GS38" s="262"/>
      <c r="GT38" s="262"/>
      <c r="GU38" s="262"/>
      <c r="GV38" s="262"/>
      <c r="GW38" s="262"/>
      <c r="GX38" s="262"/>
      <c r="GY38" s="262"/>
      <c r="GZ38" s="262"/>
      <c r="HA38" s="262"/>
      <c r="HB38" s="262"/>
      <c r="HC38" s="262"/>
      <c r="HD38" s="262"/>
      <c r="HE38" s="262"/>
      <c r="HF38" s="262"/>
      <c r="HG38" s="262"/>
      <c r="HH38" s="262"/>
      <c r="HI38" s="262"/>
      <c r="HJ38" s="262"/>
      <c r="HK38" s="262"/>
      <c r="HL38" s="262"/>
      <c r="HM38" s="262"/>
      <c r="HN38" s="262"/>
      <c r="HO38" s="262"/>
      <c r="HP38" s="262"/>
      <c r="HQ38" s="262"/>
      <c r="HR38" s="262"/>
      <c r="HS38" s="262"/>
      <c r="HT38" s="262"/>
      <c r="HU38" s="262"/>
      <c r="HV38" s="262"/>
      <c r="HW38" s="262"/>
      <c r="HX38" s="262"/>
      <c r="HY38" s="262"/>
      <c r="HZ38" s="262"/>
      <c r="IA38" s="262"/>
      <c r="IB38" s="262"/>
      <c r="IC38" s="262"/>
      <c r="ID38" s="262"/>
      <c r="IE38" s="262"/>
      <c r="IF38" s="262"/>
      <c r="IG38" s="262"/>
      <c r="IH38" s="262"/>
      <c r="II38" s="262"/>
      <c r="IJ38" s="262"/>
      <c r="IK38" s="262"/>
      <c r="IL38" s="262"/>
      <c r="IM38" s="262"/>
      <c r="IN38" s="262"/>
      <c r="IO38" s="262"/>
      <c r="IP38" s="262"/>
      <c r="IQ38" s="262"/>
      <c r="IR38" s="262"/>
      <c r="IS38" s="262"/>
      <c r="IT38" s="262"/>
      <c r="IU38" s="262"/>
      <c r="IV38" s="262"/>
      <c r="IW38" s="262"/>
      <c r="IX38" s="262"/>
      <c r="IY38" s="262"/>
      <c r="IZ38" s="262"/>
      <c r="JA38" s="262"/>
      <c r="JB38" s="262"/>
      <c r="JC38" s="262"/>
      <c r="JD38" s="262"/>
      <c r="JE38" s="262"/>
      <c r="JF38" s="262"/>
      <c r="JG38" s="262"/>
      <c r="JH38" s="262"/>
      <c r="JI38" s="262"/>
      <c r="JJ38" s="262"/>
      <c r="JK38" s="262"/>
      <c r="JL38" s="262"/>
      <c r="JM38" s="262"/>
      <c r="JN38" s="262"/>
      <c r="JO38" s="262"/>
      <c r="JP38" s="262"/>
      <c r="JQ38" s="262"/>
      <c r="JR38" s="262"/>
      <c r="JS38" s="262"/>
      <c r="JT38" s="262"/>
      <c r="JU38" s="262"/>
      <c r="JV38" s="262"/>
      <c r="JW38" s="262"/>
      <c r="JX38" s="262"/>
      <c r="JY38" s="262"/>
      <c r="JZ38" s="262"/>
      <c r="KA38" s="262"/>
      <c r="KB38" s="262"/>
      <c r="KC38" s="262"/>
      <c r="KD38" s="262"/>
      <c r="KE38" s="262"/>
      <c r="KF38" s="262"/>
      <c r="KG38" s="262"/>
      <c r="KH38" s="262"/>
      <c r="KI38" s="262"/>
      <c r="KJ38" s="262"/>
      <c r="KK38" s="262"/>
      <c r="KL38" s="262"/>
      <c r="KM38" s="262"/>
      <c r="KN38" s="262"/>
      <c r="KO38" s="262"/>
      <c r="KP38" s="262"/>
      <c r="KQ38" s="262"/>
      <c r="KR38" s="262"/>
      <c r="KS38" s="262"/>
      <c r="KT38" s="262"/>
      <c r="KU38" s="262"/>
      <c r="KV38" s="262"/>
      <c r="KW38" s="262"/>
      <c r="KX38" s="262"/>
      <c r="KY38" s="262"/>
      <c r="KZ38" s="262"/>
    </row>
    <row r="39" spans="1:312" s="85" customFormat="1" ht="50" customHeight="1">
      <c r="A39" s="263" t="s">
        <v>468</v>
      </c>
      <c r="B39" s="264"/>
      <c r="C39" s="86"/>
      <c r="D39" s="86"/>
      <c r="E39" s="60">
        <v>68</v>
      </c>
      <c r="F39" s="86" t="e">
        <f t="shared" si="0"/>
        <v>#DIV/0!</v>
      </c>
      <c r="G39" s="87">
        <v>10</v>
      </c>
      <c r="H39" s="87">
        <v>10</v>
      </c>
      <c r="I39" s="87"/>
      <c r="J39" s="264" t="s">
        <v>217</v>
      </c>
      <c r="K39" s="265" t="s">
        <v>469</v>
      </c>
      <c r="L39" s="98"/>
      <c r="M39" s="98"/>
      <c r="N39" s="99"/>
      <c r="O39" s="99" t="s">
        <v>335</v>
      </c>
      <c r="P39" s="266"/>
      <c r="Q39" s="93" t="s">
        <v>689</v>
      </c>
      <c r="R39" s="93"/>
      <c r="S39" s="60">
        <v>68</v>
      </c>
      <c r="T39" s="263">
        <f t="shared" si="1"/>
        <v>680</v>
      </c>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c r="DM39" s="262"/>
      <c r="DN39" s="262"/>
      <c r="DO39" s="262"/>
      <c r="DP39" s="262"/>
      <c r="DQ39" s="262"/>
      <c r="DR39" s="262"/>
      <c r="DS39" s="262"/>
      <c r="DT39" s="262"/>
      <c r="DU39" s="262"/>
      <c r="DV39" s="262"/>
      <c r="DW39" s="262"/>
      <c r="DX39" s="262"/>
      <c r="DY39" s="262"/>
      <c r="DZ39" s="262"/>
      <c r="EA39" s="262"/>
      <c r="EB39" s="262"/>
      <c r="EC39" s="262"/>
      <c r="ED39" s="262"/>
      <c r="EE39" s="262"/>
      <c r="EF39" s="262"/>
      <c r="EG39" s="262"/>
      <c r="EH39" s="262"/>
      <c r="EI39" s="262"/>
      <c r="EJ39" s="262"/>
      <c r="EK39" s="262"/>
      <c r="EL39" s="262"/>
      <c r="EM39" s="262"/>
      <c r="EN39" s="262"/>
      <c r="EO39" s="262"/>
      <c r="EP39" s="262"/>
      <c r="EQ39" s="262"/>
      <c r="ER39" s="262"/>
      <c r="ES39" s="262"/>
      <c r="ET39" s="262"/>
      <c r="EU39" s="262"/>
      <c r="EV39" s="262"/>
      <c r="EW39" s="262"/>
      <c r="EX39" s="262"/>
      <c r="EY39" s="262"/>
      <c r="EZ39" s="262"/>
      <c r="FA39" s="262"/>
      <c r="FB39" s="262"/>
      <c r="FC39" s="262"/>
      <c r="FD39" s="262"/>
      <c r="FE39" s="262"/>
      <c r="FF39" s="262"/>
      <c r="FG39" s="262"/>
      <c r="FH39" s="262"/>
      <c r="FI39" s="262"/>
      <c r="FJ39" s="262"/>
      <c r="FK39" s="262"/>
      <c r="FL39" s="262"/>
      <c r="FM39" s="262"/>
      <c r="FN39" s="262"/>
      <c r="FO39" s="262"/>
      <c r="FP39" s="262"/>
      <c r="FQ39" s="262"/>
      <c r="FR39" s="262"/>
      <c r="FS39" s="262"/>
      <c r="FT39" s="262"/>
      <c r="FU39" s="262"/>
      <c r="FV39" s="262"/>
      <c r="FW39" s="262"/>
      <c r="FX39" s="262"/>
      <c r="FY39" s="262"/>
      <c r="FZ39" s="262"/>
      <c r="GA39" s="262"/>
      <c r="GB39" s="262"/>
      <c r="GC39" s="262"/>
      <c r="GD39" s="262"/>
      <c r="GE39" s="262"/>
      <c r="GF39" s="262"/>
      <c r="GG39" s="262"/>
      <c r="GH39" s="262"/>
      <c r="GI39" s="262"/>
      <c r="GJ39" s="262"/>
      <c r="GK39" s="262"/>
      <c r="GL39" s="262"/>
      <c r="GM39" s="262"/>
      <c r="GN39" s="262"/>
      <c r="GO39" s="262"/>
      <c r="GP39" s="262"/>
      <c r="GQ39" s="262"/>
      <c r="GR39" s="262"/>
      <c r="GS39" s="262"/>
      <c r="GT39" s="262"/>
      <c r="GU39" s="262"/>
      <c r="GV39" s="262"/>
      <c r="GW39" s="262"/>
      <c r="GX39" s="262"/>
      <c r="GY39" s="262"/>
      <c r="GZ39" s="262"/>
      <c r="HA39" s="262"/>
      <c r="HB39" s="262"/>
      <c r="HC39" s="262"/>
      <c r="HD39" s="262"/>
      <c r="HE39" s="262"/>
      <c r="HF39" s="262"/>
      <c r="HG39" s="262"/>
      <c r="HH39" s="262"/>
      <c r="HI39" s="262"/>
      <c r="HJ39" s="262"/>
      <c r="HK39" s="262"/>
      <c r="HL39" s="262"/>
      <c r="HM39" s="262"/>
      <c r="HN39" s="262"/>
      <c r="HO39" s="262"/>
      <c r="HP39" s="262"/>
      <c r="HQ39" s="262"/>
      <c r="HR39" s="262"/>
      <c r="HS39" s="262"/>
      <c r="HT39" s="262"/>
      <c r="HU39" s="262"/>
      <c r="HV39" s="262"/>
      <c r="HW39" s="262"/>
      <c r="HX39" s="262"/>
      <c r="HY39" s="262"/>
      <c r="HZ39" s="262"/>
      <c r="IA39" s="262"/>
      <c r="IB39" s="262"/>
      <c r="IC39" s="262"/>
      <c r="ID39" s="262"/>
      <c r="IE39" s="262"/>
      <c r="IF39" s="262"/>
      <c r="IG39" s="262"/>
      <c r="IH39" s="262"/>
      <c r="II39" s="262"/>
      <c r="IJ39" s="262"/>
      <c r="IK39" s="262"/>
      <c r="IL39" s="262"/>
      <c r="IM39" s="262"/>
      <c r="IN39" s="262"/>
      <c r="IO39" s="262"/>
      <c r="IP39" s="262"/>
      <c r="IQ39" s="262"/>
      <c r="IR39" s="262"/>
      <c r="IS39" s="262"/>
      <c r="IT39" s="262"/>
      <c r="IU39" s="262"/>
      <c r="IV39" s="262"/>
      <c r="IW39" s="262"/>
      <c r="IX39" s="262"/>
      <c r="IY39" s="262"/>
      <c r="IZ39" s="262"/>
      <c r="JA39" s="262"/>
      <c r="JB39" s="262"/>
      <c r="JC39" s="262"/>
      <c r="JD39" s="262"/>
      <c r="JE39" s="262"/>
      <c r="JF39" s="262"/>
      <c r="JG39" s="262"/>
      <c r="JH39" s="262"/>
      <c r="JI39" s="262"/>
      <c r="JJ39" s="262"/>
      <c r="JK39" s="262"/>
      <c r="JL39" s="262"/>
      <c r="JM39" s="262"/>
      <c r="JN39" s="262"/>
      <c r="JO39" s="262"/>
      <c r="JP39" s="262"/>
      <c r="JQ39" s="262"/>
      <c r="JR39" s="262"/>
      <c r="JS39" s="262"/>
      <c r="JT39" s="262"/>
      <c r="JU39" s="262"/>
      <c r="JV39" s="262"/>
      <c r="JW39" s="262"/>
      <c r="JX39" s="262"/>
      <c r="JY39" s="262"/>
      <c r="JZ39" s="262"/>
      <c r="KA39" s="262"/>
      <c r="KB39" s="262"/>
      <c r="KC39" s="262"/>
      <c r="KD39" s="262"/>
      <c r="KE39" s="262"/>
      <c r="KF39" s="262"/>
      <c r="KG39" s="262"/>
      <c r="KH39" s="262"/>
      <c r="KI39" s="262"/>
      <c r="KJ39" s="262"/>
      <c r="KK39" s="262"/>
      <c r="KL39" s="262"/>
      <c r="KM39" s="262"/>
      <c r="KN39" s="262"/>
      <c r="KO39" s="262"/>
      <c r="KP39" s="262"/>
      <c r="KQ39" s="262"/>
      <c r="KR39" s="262"/>
      <c r="KS39" s="262"/>
      <c r="KT39" s="262"/>
      <c r="KU39" s="262"/>
      <c r="KV39" s="262"/>
      <c r="KW39" s="262"/>
      <c r="KX39" s="262"/>
      <c r="KY39" s="262"/>
      <c r="KZ39" s="262"/>
    </row>
    <row r="40" spans="1:312" s="85" customFormat="1" ht="50" customHeight="1">
      <c r="A40" s="263" t="s">
        <v>433</v>
      </c>
      <c r="B40" s="264"/>
      <c r="C40" s="86"/>
      <c r="D40" s="86"/>
      <c r="E40" s="60">
        <v>1715</v>
      </c>
      <c r="F40" s="86" t="e">
        <f t="shared" si="0"/>
        <v>#DIV/0!</v>
      </c>
      <c r="G40" s="87">
        <v>9</v>
      </c>
      <c r="H40" s="87">
        <v>10</v>
      </c>
      <c r="I40" s="87"/>
      <c r="J40" s="87" t="s">
        <v>367</v>
      </c>
      <c r="K40" s="89" t="s">
        <v>434</v>
      </c>
      <c r="L40" s="90" t="s">
        <v>689</v>
      </c>
      <c r="M40" s="90" t="s">
        <v>689</v>
      </c>
      <c r="N40" s="91" t="s">
        <v>335</v>
      </c>
      <c r="O40" s="91" t="s">
        <v>335</v>
      </c>
      <c r="P40" s="92"/>
      <c r="Q40" s="93" t="s">
        <v>689</v>
      </c>
      <c r="R40" s="93" t="s">
        <v>689</v>
      </c>
      <c r="S40" s="60">
        <v>1715</v>
      </c>
      <c r="T40" s="263">
        <f t="shared" si="1"/>
        <v>15435</v>
      </c>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2"/>
      <c r="DN40" s="262"/>
      <c r="DO40" s="262"/>
      <c r="DP40" s="262"/>
      <c r="DQ40" s="262"/>
      <c r="DR40" s="262"/>
      <c r="DS40" s="262"/>
      <c r="DT40" s="262"/>
      <c r="DU40" s="262"/>
      <c r="DV40" s="262"/>
      <c r="DW40" s="262"/>
      <c r="DX40" s="262"/>
      <c r="DY40" s="262"/>
      <c r="DZ40" s="262"/>
      <c r="EA40" s="262"/>
      <c r="EB40" s="262"/>
      <c r="EC40" s="262"/>
      <c r="ED40" s="262"/>
      <c r="EE40" s="262"/>
      <c r="EF40" s="262"/>
      <c r="EG40" s="262"/>
      <c r="EH40" s="262"/>
      <c r="EI40" s="262"/>
      <c r="EJ40" s="262"/>
      <c r="EK40" s="262"/>
      <c r="EL40" s="262"/>
      <c r="EM40" s="262"/>
      <c r="EN40" s="262"/>
      <c r="EO40" s="262"/>
      <c r="EP40" s="262"/>
      <c r="EQ40" s="262"/>
      <c r="ER40" s="262"/>
      <c r="ES40" s="262"/>
      <c r="ET40" s="262"/>
      <c r="EU40" s="262"/>
      <c r="EV40" s="262"/>
      <c r="EW40" s="262"/>
      <c r="EX40" s="262"/>
      <c r="EY40" s="262"/>
      <c r="EZ40" s="262"/>
      <c r="FA40" s="262"/>
      <c r="FB40" s="262"/>
      <c r="FC40" s="262"/>
      <c r="FD40" s="262"/>
      <c r="FE40" s="262"/>
      <c r="FF40" s="262"/>
      <c r="FG40" s="262"/>
      <c r="FH40" s="262"/>
      <c r="FI40" s="262"/>
      <c r="FJ40" s="262"/>
      <c r="FK40" s="262"/>
      <c r="FL40" s="262"/>
      <c r="FM40" s="262"/>
      <c r="FN40" s="262"/>
      <c r="FO40" s="262"/>
      <c r="FP40" s="262"/>
      <c r="FQ40" s="262"/>
      <c r="FR40" s="262"/>
      <c r="FS40" s="262"/>
      <c r="FT40" s="262"/>
      <c r="FU40" s="262"/>
      <c r="FV40" s="262"/>
      <c r="FW40" s="262"/>
      <c r="FX40" s="262"/>
      <c r="FY40" s="262"/>
      <c r="FZ40" s="262"/>
      <c r="GA40" s="262"/>
      <c r="GB40" s="262"/>
      <c r="GC40" s="262"/>
      <c r="GD40" s="262"/>
      <c r="GE40" s="262"/>
      <c r="GF40" s="262"/>
      <c r="GG40" s="262"/>
      <c r="GH40" s="262"/>
      <c r="GI40" s="262"/>
      <c r="GJ40" s="262"/>
      <c r="GK40" s="262"/>
      <c r="GL40" s="262"/>
      <c r="GM40" s="262"/>
      <c r="GN40" s="262"/>
      <c r="GO40" s="262"/>
      <c r="GP40" s="262"/>
      <c r="GQ40" s="262"/>
      <c r="GR40" s="262"/>
      <c r="GS40" s="262"/>
      <c r="GT40" s="262"/>
      <c r="GU40" s="262"/>
      <c r="GV40" s="262"/>
      <c r="GW40" s="262"/>
      <c r="GX40" s="262"/>
      <c r="GY40" s="262"/>
      <c r="GZ40" s="262"/>
      <c r="HA40" s="262"/>
      <c r="HB40" s="262"/>
      <c r="HC40" s="262"/>
      <c r="HD40" s="262"/>
      <c r="HE40" s="262"/>
      <c r="HF40" s="262"/>
      <c r="HG40" s="262"/>
      <c r="HH40" s="262"/>
      <c r="HI40" s="262"/>
      <c r="HJ40" s="262"/>
      <c r="HK40" s="262"/>
      <c r="HL40" s="262"/>
      <c r="HM40" s="262"/>
      <c r="HN40" s="262"/>
      <c r="HO40" s="262"/>
      <c r="HP40" s="262"/>
      <c r="HQ40" s="262"/>
      <c r="HR40" s="262"/>
      <c r="HS40" s="262"/>
      <c r="HT40" s="262"/>
      <c r="HU40" s="262"/>
      <c r="HV40" s="262"/>
      <c r="HW40" s="262"/>
      <c r="HX40" s="262"/>
      <c r="HY40" s="262"/>
      <c r="HZ40" s="262"/>
      <c r="IA40" s="262"/>
      <c r="IB40" s="262"/>
      <c r="IC40" s="262"/>
      <c r="ID40" s="262"/>
      <c r="IE40" s="262"/>
      <c r="IF40" s="262"/>
      <c r="IG40" s="262"/>
      <c r="IH40" s="262"/>
      <c r="II40" s="262"/>
      <c r="IJ40" s="262"/>
      <c r="IK40" s="262"/>
      <c r="IL40" s="262"/>
      <c r="IM40" s="262"/>
      <c r="IN40" s="262"/>
      <c r="IO40" s="262"/>
      <c r="IP40" s="262"/>
      <c r="IQ40" s="262"/>
      <c r="IR40" s="262"/>
      <c r="IS40" s="262"/>
      <c r="IT40" s="262"/>
      <c r="IU40" s="262"/>
      <c r="IV40" s="262"/>
      <c r="IW40" s="262"/>
      <c r="IX40" s="262"/>
      <c r="IY40" s="262"/>
      <c r="IZ40" s="262"/>
      <c r="JA40" s="262"/>
      <c r="JB40" s="262"/>
      <c r="JC40" s="262"/>
      <c r="JD40" s="262"/>
      <c r="JE40" s="262"/>
      <c r="JF40" s="262"/>
      <c r="JG40" s="262"/>
      <c r="JH40" s="262"/>
      <c r="JI40" s="262"/>
      <c r="JJ40" s="262"/>
      <c r="JK40" s="262"/>
      <c r="JL40" s="262"/>
      <c r="JM40" s="262"/>
      <c r="JN40" s="262"/>
      <c r="JO40" s="262"/>
      <c r="JP40" s="262"/>
      <c r="JQ40" s="262"/>
      <c r="JR40" s="262"/>
      <c r="JS40" s="262"/>
      <c r="JT40" s="262"/>
      <c r="JU40" s="262"/>
      <c r="JV40" s="262"/>
      <c r="JW40" s="262"/>
      <c r="JX40" s="262"/>
      <c r="JY40" s="262"/>
      <c r="JZ40" s="262"/>
      <c r="KA40" s="262"/>
      <c r="KB40" s="262"/>
      <c r="KC40" s="262"/>
      <c r="KD40" s="262"/>
      <c r="KE40" s="262"/>
      <c r="KF40" s="262"/>
      <c r="KG40" s="262"/>
      <c r="KH40" s="262"/>
      <c r="KI40" s="262"/>
      <c r="KJ40" s="262"/>
      <c r="KK40" s="262"/>
      <c r="KL40" s="262"/>
      <c r="KM40" s="262"/>
      <c r="KN40" s="262"/>
      <c r="KO40" s="262"/>
      <c r="KP40" s="262"/>
      <c r="KQ40" s="262"/>
      <c r="KR40" s="262"/>
      <c r="KS40" s="262"/>
      <c r="KT40" s="262"/>
      <c r="KU40" s="262"/>
      <c r="KV40" s="262"/>
      <c r="KW40" s="262"/>
      <c r="KX40" s="262"/>
      <c r="KY40" s="262"/>
      <c r="KZ40" s="262"/>
    </row>
    <row r="41" spans="1:312" s="85" customFormat="1" ht="50" customHeight="1">
      <c r="A41" s="263" t="s">
        <v>143</v>
      </c>
      <c r="B41" s="264">
        <v>50730</v>
      </c>
      <c r="C41" s="86">
        <v>6260</v>
      </c>
      <c r="D41" s="86">
        <v>878</v>
      </c>
      <c r="E41" s="60">
        <v>1599</v>
      </c>
      <c r="F41" s="86">
        <f t="shared" si="0"/>
        <v>7.1298405466970385</v>
      </c>
      <c r="G41" s="87">
        <v>8</v>
      </c>
      <c r="H41" s="87">
        <v>10</v>
      </c>
      <c r="I41" s="87"/>
      <c r="J41" s="87" t="s">
        <v>204</v>
      </c>
      <c r="K41" s="89" t="s">
        <v>375</v>
      </c>
      <c r="L41" s="90" t="s">
        <v>689</v>
      </c>
      <c r="M41" s="90"/>
      <c r="N41" s="91" t="s">
        <v>335</v>
      </c>
      <c r="O41" s="91" t="s">
        <v>335</v>
      </c>
      <c r="P41" s="92"/>
      <c r="Q41" s="95" t="s">
        <v>689</v>
      </c>
      <c r="R41" s="95" t="s">
        <v>689</v>
      </c>
      <c r="S41" s="60">
        <v>1599</v>
      </c>
      <c r="T41" s="263">
        <f t="shared" si="1"/>
        <v>12792</v>
      </c>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c r="CY41" s="262"/>
      <c r="CZ41" s="262"/>
      <c r="DA41" s="262"/>
      <c r="DB41" s="262"/>
      <c r="DC41" s="262"/>
      <c r="DD41" s="262"/>
      <c r="DE41" s="262"/>
      <c r="DF41" s="262"/>
      <c r="DG41" s="262"/>
      <c r="DH41" s="262"/>
      <c r="DI41" s="262"/>
      <c r="DJ41" s="262"/>
      <c r="DK41" s="262"/>
      <c r="DL41" s="262"/>
      <c r="DM41" s="262"/>
      <c r="DN41" s="262"/>
      <c r="DO41" s="262"/>
      <c r="DP41" s="262"/>
      <c r="DQ41" s="262"/>
      <c r="DR41" s="262"/>
      <c r="DS41" s="262"/>
      <c r="DT41" s="262"/>
      <c r="DU41" s="262"/>
      <c r="DV41" s="262"/>
      <c r="DW41" s="262"/>
      <c r="DX41" s="262"/>
      <c r="DY41" s="262"/>
      <c r="DZ41" s="262"/>
      <c r="EA41" s="262"/>
      <c r="EB41" s="262"/>
      <c r="EC41" s="262"/>
      <c r="ED41" s="262"/>
      <c r="EE41" s="262"/>
      <c r="EF41" s="262"/>
      <c r="EG41" s="262"/>
      <c r="EH41" s="262"/>
      <c r="EI41" s="262"/>
      <c r="EJ41" s="262"/>
      <c r="EK41" s="262"/>
      <c r="EL41" s="262"/>
      <c r="EM41" s="262"/>
      <c r="EN41" s="262"/>
      <c r="EO41" s="262"/>
      <c r="EP41" s="262"/>
      <c r="EQ41" s="262"/>
      <c r="ER41" s="262"/>
      <c r="ES41" s="262"/>
      <c r="ET41" s="262"/>
      <c r="EU41" s="262"/>
      <c r="EV41" s="262"/>
      <c r="EW41" s="262"/>
      <c r="EX41" s="262"/>
      <c r="EY41" s="262"/>
      <c r="EZ41" s="262"/>
      <c r="FA41" s="262"/>
      <c r="FB41" s="262"/>
      <c r="FC41" s="262"/>
      <c r="FD41" s="262"/>
      <c r="FE41" s="262"/>
      <c r="FF41" s="262"/>
      <c r="FG41" s="262"/>
      <c r="FH41" s="262"/>
      <c r="FI41" s="262"/>
      <c r="FJ41" s="262"/>
      <c r="FK41" s="262"/>
      <c r="FL41" s="262"/>
      <c r="FM41" s="262"/>
      <c r="FN41" s="262"/>
      <c r="FO41" s="262"/>
      <c r="FP41" s="262"/>
      <c r="FQ41" s="262"/>
      <c r="FR41" s="262"/>
      <c r="FS41" s="262"/>
      <c r="FT41" s="262"/>
      <c r="FU41" s="262"/>
      <c r="FV41" s="262"/>
      <c r="FW41" s="262"/>
      <c r="FX41" s="262"/>
      <c r="FY41" s="262"/>
      <c r="FZ41" s="262"/>
      <c r="GA41" s="262"/>
      <c r="GB41" s="262"/>
      <c r="GC41" s="262"/>
      <c r="GD41" s="262"/>
      <c r="GE41" s="262"/>
      <c r="GF41" s="262"/>
      <c r="GG41" s="262"/>
      <c r="GH41" s="262"/>
      <c r="GI41" s="262"/>
      <c r="GJ41" s="262"/>
      <c r="GK41" s="262"/>
      <c r="GL41" s="262"/>
      <c r="GM41" s="262"/>
      <c r="GN41" s="262"/>
      <c r="GO41" s="262"/>
      <c r="GP41" s="262"/>
      <c r="GQ41" s="262"/>
      <c r="GR41" s="262"/>
      <c r="GS41" s="262"/>
      <c r="GT41" s="262"/>
      <c r="GU41" s="262"/>
      <c r="GV41" s="262"/>
      <c r="GW41" s="262"/>
      <c r="GX41" s="262"/>
      <c r="GY41" s="262"/>
      <c r="GZ41" s="262"/>
      <c r="HA41" s="262"/>
      <c r="HB41" s="262"/>
      <c r="HC41" s="262"/>
      <c r="HD41" s="262"/>
      <c r="HE41" s="262"/>
      <c r="HF41" s="262"/>
      <c r="HG41" s="262"/>
      <c r="HH41" s="262"/>
      <c r="HI41" s="262"/>
      <c r="HJ41" s="262"/>
      <c r="HK41" s="262"/>
      <c r="HL41" s="262"/>
      <c r="HM41" s="262"/>
      <c r="HN41" s="262"/>
      <c r="HO41" s="262"/>
      <c r="HP41" s="262"/>
      <c r="HQ41" s="262"/>
      <c r="HR41" s="262"/>
      <c r="HS41" s="262"/>
      <c r="HT41" s="262"/>
      <c r="HU41" s="262"/>
      <c r="HV41" s="262"/>
      <c r="HW41" s="262"/>
      <c r="HX41" s="262"/>
      <c r="HY41" s="262"/>
      <c r="HZ41" s="262"/>
      <c r="IA41" s="262"/>
      <c r="IB41" s="262"/>
      <c r="IC41" s="262"/>
      <c r="ID41" s="262"/>
      <c r="IE41" s="262"/>
      <c r="IF41" s="262"/>
      <c r="IG41" s="262"/>
      <c r="IH41" s="262"/>
      <c r="II41" s="262"/>
      <c r="IJ41" s="262"/>
      <c r="IK41" s="262"/>
      <c r="IL41" s="262"/>
      <c r="IM41" s="262"/>
      <c r="IN41" s="262"/>
      <c r="IO41" s="262"/>
      <c r="IP41" s="262"/>
      <c r="IQ41" s="262"/>
      <c r="IR41" s="262"/>
      <c r="IS41" s="262"/>
      <c r="IT41" s="262"/>
      <c r="IU41" s="262"/>
      <c r="IV41" s="262"/>
      <c r="IW41" s="262"/>
      <c r="IX41" s="262"/>
      <c r="IY41" s="262"/>
      <c r="IZ41" s="262"/>
      <c r="JA41" s="262"/>
      <c r="JB41" s="262"/>
      <c r="JC41" s="262"/>
      <c r="JD41" s="262"/>
      <c r="JE41" s="262"/>
      <c r="JF41" s="262"/>
      <c r="JG41" s="262"/>
      <c r="JH41" s="262"/>
      <c r="JI41" s="262"/>
      <c r="JJ41" s="262"/>
      <c r="JK41" s="262"/>
      <c r="JL41" s="262"/>
      <c r="JM41" s="262"/>
      <c r="JN41" s="262"/>
      <c r="JO41" s="262"/>
      <c r="JP41" s="262"/>
      <c r="JQ41" s="262"/>
      <c r="JR41" s="262"/>
      <c r="JS41" s="262"/>
      <c r="JT41" s="262"/>
      <c r="JU41" s="262"/>
      <c r="JV41" s="262"/>
      <c r="JW41" s="262"/>
      <c r="JX41" s="262"/>
      <c r="JY41" s="262"/>
      <c r="JZ41" s="262"/>
      <c r="KA41" s="262"/>
      <c r="KB41" s="262"/>
      <c r="KC41" s="262"/>
      <c r="KD41" s="262"/>
      <c r="KE41" s="262"/>
      <c r="KF41" s="262"/>
      <c r="KG41" s="262"/>
      <c r="KH41" s="262"/>
      <c r="KI41" s="262"/>
      <c r="KJ41" s="262"/>
      <c r="KK41" s="262"/>
      <c r="KL41" s="262"/>
      <c r="KM41" s="262"/>
      <c r="KN41" s="262"/>
      <c r="KO41" s="262"/>
      <c r="KP41" s="262"/>
      <c r="KQ41" s="262"/>
      <c r="KR41" s="262"/>
      <c r="KS41" s="262"/>
      <c r="KT41" s="262"/>
      <c r="KU41" s="262"/>
      <c r="KV41" s="262"/>
      <c r="KW41" s="262"/>
      <c r="KX41" s="262"/>
      <c r="KY41" s="262"/>
      <c r="KZ41" s="262"/>
    </row>
    <row r="42" spans="1:312" s="85" customFormat="1" ht="50" customHeight="1">
      <c r="A42" s="263" t="s">
        <v>312</v>
      </c>
      <c r="B42" s="264"/>
      <c r="C42" s="86"/>
      <c r="D42" s="86"/>
      <c r="E42" s="60">
        <v>184</v>
      </c>
      <c r="F42" s="86" t="e">
        <f t="shared" si="0"/>
        <v>#DIV/0!</v>
      </c>
      <c r="G42" s="87">
        <v>8</v>
      </c>
      <c r="H42" s="87">
        <v>10</v>
      </c>
      <c r="I42" s="87"/>
      <c r="J42" s="87" t="s">
        <v>204</v>
      </c>
      <c r="K42" s="89" t="s">
        <v>313</v>
      </c>
      <c r="L42" s="94"/>
      <c r="M42" s="90" t="s">
        <v>689</v>
      </c>
      <c r="N42" s="91"/>
      <c r="O42" s="91" t="s">
        <v>335</v>
      </c>
      <c r="P42" s="92"/>
      <c r="Q42" s="95" t="s">
        <v>689</v>
      </c>
      <c r="R42" s="95" t="s">
        <v>689</v>
      </c>
      <c r="S42" s="60">
        <v>184</v>
      </c>
      <c r="T42" s="263">
        <f t="shared" si="1"/>
        <v>1472</v>
      </c>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c r="DS42" s="262"/>
      <c r="DT42" s="262"/>
      <c r="DU42" s="262"/>
      <c r="DV42" s="262"/>
      <c r="DW42" s="262"/>
      <c r="DX42" s="262"/>
      <c r="DY42" s="262"/>
      <c r="DZ42" s="262"/>
      <c r="EA42" s="262"/>
      <c r="EB42" s="262"/>
      <c r="EC42" s="262"/>
      <c r="ED42" s="262"/>
      <c r="EE42" s="262"/>
      <c r="EF42" s="262"/>
      <c r="EG42" s="262"/>
      <c r="EH42" s="262"/>
      <c r="EI42" s="262"/>
      <c r="EJ42" s="262"/>
      <c r="EK42" s="262"/>
      <c r="EL42" s="262"/>
      <c r="EM42" s="262"/>
      <c r="EN42" s="262"/>
      <c r="EO42" s="262"/>
      <c r="EP42" s="262"/>
      <c r="EQ42" s="262"/>
      <c r="ER42" s="262"/>
      <c r="ES42" s="262"/>
      <c r="ET42" s="262"/>
      <c r="EU42" s="262"/>
      <c r="EV42" s="262"/>
      <c r="EW42" s="262"/>
      <c r="EX42" s="262"/>
      <c r="EY42" s="262"/>
      <c r="EZ42" s="262"/>
      <c r="FA42" s="262"/>
      <c r="FB42" s="262"/>
      <c r="FC42" s="262"/>
      <c r="FD42" s="262"/>
      <c r="FE42" s="262"/>
      <c r="FF42" s="262"/>
      <c r="FG42" s="262"/>
      <c r="FH42" s="262"/>
      <c r="FI42" s="262"/>
      <c r="FJ42" s="262"/>
      <c r="FK42" s="262"/>
      <c r="FL42" s="262"/>
      <c r="FM42" s="262"/>
      <c r="FN42" s="262"/>
      <c r="FO42" s="262"/>
      <c r="FP42" s="262"/>
      <c r="FQ42" s="262"/>
      <c r="FR42" s="262"/>
      <c r="FS42" s="262"/>
      <c r="FT42" s="262"/>
      <c r="FU42" s="262"/>
      <c r="FV42" s="262"/>
      <c r="FW42" s="262"/>
      <c r="FX42" s="262"/>
      <c r="FY42" s="262"/>
      <c r="FZ42" s="262"/>
      <c r="GA42" s="262"/>
      <c r="GB42" s="262"/>
      <c r="GC42" s="262"/>
      <c r="GD42" s="262"/>
      <c r="GE42" s="262"/>
      <c r="GF42" s="262"/>
      <c r="GG42" s="262"/>
      <c r="GH42" s="262"/>
      <c r="GI42" s="262"/>
      <c r="GJ42" s="262"/>
      <c r="GK42" s="262"/>
      <c r="GL42" s="262"/>
      <c r="GM42" s="262"/>
      <c r="GN42" s="262"/>
      <c r="GO42" s="262"/>
      <c r="GP42" s="262"/>
      <c r="GQ42" s="262"/>
      <c r="GR42" s="262"/>
      <c r="GS42" s="262"/>
      <c r="GT42" s="262"/>
      <c r="GU42" s="262"/>
      <c r="GV42" s="262"/>
      <c r="GW42" s="262"/>
      <c r="GX42" s="262"/>
      <c r="GY42" s="262"/>
      <c r="GZ42" s="262"/>
      <c r="HA42" s="262"/>
      <c r="HB42" s="262"/>
      <c r="HC42" s="262"/>
      <c r="HD42" s="262"/>
      <c r="HE42" s="262"/>
      <c r="HF42" s="262"/>
      <c r="HG42" s="262"/>
      <c r="HH42" s="262"/>
      <c r="HI42" s="262"/>
      <c r="HJ42" s="262"/>
      <c r="HK42" s="262"/>
      <c r="HL42" s="262"/>
      <c r="HM42" s="262"/>
      <c r="HN42" s="262"/>
      <c r="HO42" s="262"/>
      <c r="HP42" s="262"/>
      <c r="HQ42" s="262"/>
      <c r="HR42" s="262"/>
      <c r="HS42" s="262"/>
      <c r="HT42" s="262"/>
      <c r="HU42" s="262"/>
      <c r="HV42" s="262"/>
      <c r="HW42" s="262"/>
      <c r="HX42" s="262"/>
      <c r="HY42" s="262"/>
      <c r="HZ42" s="262"/>
      <c r="IA42" s="262"/>
      <c r="IB42" s="262"/>
      <c r="IC42" s="262"/>
      <c r="ID42" s="262"/>
      <c r="IE42" s="262"/>
      <c r="IF42" s="262"/>
      <c r="IG42" s="262"/>
      <c r="IH42" s="262"/>
      <c r="II42" s="262"/>
      <c r="IJ42" s="262"/>
      <c r="IK42" s="262"/>
      <c r="IL42" s="262"/>
      <c r="IM42" s="262"/>
      <c r="IN42" s="262"/>
      <c r="IO42" s="262"/>
      <c r="IP42" s="262"/>
      <c r="IQ42" s="262"/>
      <c r="IR42" s="262"/>
      <c r="IS42" s="262"/>
      <c r="IT42" s="262"/>
      <c r="IU42" s="262"/>
      <c r="IV42" s="262"/>
      <c r="IW42" s="262"/>
      <c r="IX42" s="262"/>
      <c r="IY42" s="262"/>
      <c r="IZ42" s="262"/>
      <c r="JA42" s="262"/>
      <c r="JB42" s="262"/>
      <c r="JC42" s="262"/>
      <c r="JD42" s="262"/>
      <c r="JE42" s="262"/>
      <c r="JF42" s="262"/>
      <c r="JG42" s="262"/>
      <c r="JH42" s="262"/>
      <c r="JI42" s="262"/>
      <c r="JJ42" s="262"/>
      <c r="JK42" s="262"/>
      <c r="JL42" s="262"/>
      <c r="JM42" s="262"/>
      <c r="JN42" s="262"/>
      <c r="JO42" s="262"/>
      <c r="JP42" s="262"/>
      <c r="JQ42" s="262"/>
      <c r="JR42" s="262"/>
      <c r="JS42" s="262"/>
      <c r="JT42" s="262"/>
      <c r="JU42" s="262"/>
      <c r="JV42" s="262"/>
      <c r="JW42" s="262"/>
      <c r="JX42" s="262"/>
      <c r="JY42" s="262"/>
      <c r="JZ42" s="262"/>
      <c r="KA42" s="262"/>
      <c r="KB42" s="262"/>
      <c r="KC42" s="262"/>
      <c r="KD42" s="262"/>
      <c r="KE42" s="262"/>
      <c r="KF42" s="262"/>
      <c r="KG42" s="262"/>
      <c r="KH42" s="262"/>
      <c r="KI42" s="262"/>
      <c r="KJ42" s="262"/>
      <c r="KK42" s="262"/>
      <c r="KL42" s="262"/>
      <c r="KM42" s="262"/>
      <c r="KN42" s="262"/>
      <c r="KO42" s="262"/>
      <c r="KP42" s="262"/>
      <c r="KQ42" s="262"/>
      <c r="KR42" s="262"/>
      <c r="KS42" s="262"/>
      <c r="KT42" s="262"/>
      <c r="KU42" s="262"/>
      <c r="KV42" s="262"/>
      <c r="KW42" s="262"/>
      <c r="KX42" s="262"/>
      <c r="KY42" s="262"/>
      <c r="KZ42" s="262"/>
    </row>
    <row r="43" spans="1:312" s="106" customFormat="1" ht="50" customHeight="1">
      <c r="A43" s="263" t="s">
        <v>319</v>
      </c>
      <c r="B43" s="264"/>
      <c r="C43" s="86"/>
      <c r="D43" s="86"/>
      <c r="E43" s="60">
        <v>280</v>
      </c>
      <c r="F43" s="86" t="e">
        <f t="shared" si="0"/>
        <v>#DIV/0!</v>
      </c>
      <c r="G43" s="87">
        <v>8</v>
      </c>
      <c r="H43" s="87">
        <v>10</v>
      </c>
      <c r="I43" s="87"/>
      <c r="J43" s="87" t="s">
        <v>204</v>
      </c>
      <c r="K43" s="89" t="s">
        <v>698</v>
      </c>
      <c r="L43" s="94"/>
      <c r="M43" s="90" t="s">
        <v>689</v>
      </c>
      <c r="N43" s="91" t="s">
        <v>335</v>
      </c>
      <c r="O43" s="91" t="s">
        <v>335</v>
      </c>
      <c r="P43" s="92"/>
      <c r="Q43" s="95" t="s">
        <v>689</v>
      </c>
      <c r="R43" s="95" t="s">
        <v>689</v>
      </c>
      <c r="S43" s="60">
        <v>280</v>
      </c>
      <c r="T43" s="263">
        <f t="shared" si="1"/>
        <v>2240</v>
      </c>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c r="DM43" s="262"/>
      <c r="DN43" s="262"/>
      <c r="DO43" s="262"/>
      <c r="DP43" s="262"/>
      <c r="DQ43" s="262"/>
      <c r="DR43" s="262"/>
      <c r="DS43" s="262"/>
      <c r="DT43" s="262"/>
      <c r="DU43" s="262"/>
      <c r="DV43" s="262"/>
      <c r="DW43" s="262"/>
      <c r="DX43" s="262"/>
      <c r="DY43" s="262"/>
      <c r="DZ43" s="262"/>
      <c r="EA43" s="262"/>
      <c r="EB43" s="262"/>
      <c r="EC43" s="262"/>
      <c r="ED43" s="262"/>
      <c r="EE43" s="262"/>
      <c r="EF43" s="262"/>
      <c r="EG43" s="262"/>
      <c r="EH43" s="262"/>
      <c r="EI43" s="262"/>
      <c r="EJ43" s="262"/>
      <c r="EK43" s="262"/>
      <c r="EL43" s="262"/>
      <c r="EM43" s="262"/>
      <c r="EN43" s="262"/>
      <c r="EO43" s="262"/>
      <c r="EP43" s="262"/>
      <c r="EQ43" s="262"/>
      <c r="ER43" s="262"/>
      <c r="ES43" s="262"/>
      <c r="ET43" s="262"/>
      <c r="EU43" s="262"/>
      <c r="EV43" s="262"/>
      <c r="EW43" s="262"/>
      <c r="EX43" s="262"/>
      <c r="EY43" s="262"/>
      <c r="EZ43" s="262"/>
      <c r="FA43" s="262"/>
      <c r="FB43" s="262"/>
      <c r="FC43" s="262"/>
      <c r="FD43" s="262"/>
      <c r="FE43" s="262"/>
      <c r="FF43" s="262"/>
      <c r="FG43" s="262"/>
      <c r="FH43" s="262"/>
      <c r="FI43" s="262"/>
      <c r="FJ43" s="262"/>
      <c r="FK43" s="262"/>
      <c r="FL43" s="262"/>
      <c r="FM43" s="262"/>
      <c r="FN43" s="262"/>
      <c r="FO43" s="262"/>
      <c r="FP43" s="262"/>
      <c r="FQ43" s="262"/>
      <c r="FR43" s="262"/>
      <c r="FS43" s="262"/>
      <c r="FT43" s="262"/>
      <c r="FU43" s="262"/>
      <c r="FV43" s="262"/>
      <c r="FW43" s="262"/>
      <c r="FX43" s="262"/>
      <c r="FY43" s="262"/>
      <c r="FZ43" s="262"/>
      <c r="GA43" s="262"/>
      <c r="GB43" s="262"/>
      <c r="GC43" s="262"/>
      <c r="GD43" s="262"/>
      <c r="GE43" s="262"/>
      <c r="GF43" s="262"/>
      <c r="GG43" s="262"/>
      <c r="GH43" s="262"/>
      <c r="GI43" s="262"/>
      <c r="GJ43" s="262"/>
      <c r="GK43" s="262"/>
      <c r="GL43" s="262"/>
      <c r="GM43" s="262"/>
      <c r="GN43" s="262"/>
      <c r="GO43" s="262"/>
      <c r="GP43" s="262"/>
      <c r="GQ43" s="262"/>
      <c r="GR43" s="262"/>
      <c r="GS43" s="262"/>
      <c r="GT43" s="262"/>
      <c r="GU43" s="262"/>
      <c r="GV43" s="262"/>
      <c r="GW43" s="262"/>
      <c r="GX43" s="262"/>
      <c r="GY43" s="262"/>
      <c r="GZ43" s="262"/>
      <c r="HA43" s="262"/>
      <c r="HB43" s="262"/>
      <c r="HC43" s="262"/>
      <c r="HD43" s="262"/>
      <c r="HE43" s="262"/>
      <c r="HF43" s="262"/>
      <c r="HG43" s="262"/>
      <c r="HH43" s="262"/>
      <c r="HI43" s="262"/>
      <c r="HJ43" s="262"/>
      <c r="HK43" s="262"/>
      <c r="HL43" s="262"/>
      <c r="HM43" s="262"/>
      <c r="HN43" s="262"/>
      <c r="HO43" s="262"/>
      <c r="HP43" s="262"/>
      <c r="HQ43" s="262"/>
      <c r="HR43" s="262"/>
      <c r="HS43" s="262"/>
      <c r="HT43" s="262"/>
      <c r="HU43" s="262"/>
      <c r="HV43" s="262"/>
      <c r="HW43" s="262"/>
      <c r="HX43" s="262"/>
      <c r="HY43" s="262"/>
      <c r="HZ43" s="262"/>
      <c r="IA43" s="262"/>
      <c r="IB43" s="262"/>
      <c r="IC43" s="262"/>
      <c r="ID43" s="262"/>
      <c r="IE43" s="262"/>
      <c r="IF43" s="262"/>
      <c r="IG43" s="262"/>
      <c r="IH43" s="262"/>
      <c r="II43" s="262"/>
      <c r="IJ43" s="262"/>
      <c r="IK43" s="262"/>
      <c r="IL43" s="262"/>
      <c r="IM43" s="262"/>
      <c r="IN43" s="262"/>
      <c r="IO43" s="262"/>
      <c r="IP43" s="262"/>
      <c r="IQ43" s="262"/>
      <c r="IR43" s="262"/>
      <c r="IS43" s="262"/>
      <c r="IT43" s="262"/>
      <c r="IU43" s="262"/>
      <c r="IV43" s="262"/>
      <c r="IW43" s="262"/>
      <c r="IX43" s="262"/>
      <c r="IY43" s="262"/>
      <c r="IZ43" s="262"/>
      <c r="JA43" s="262"/>
      <c r="JB43" s="262"/>
      <c r="JC43" s="262"/>
      <c r="JD43" s="262"/>
      <c r="JE43" s="262"/>
      <c r="JF43" s="262"/>
      <c r="JG43" s="262"/>
      <c r="JH43" s="262"/>
      <c r="JI43" s="262"/>
      <c r="JJ43" s="262"/>
      <c r="JK43" s="262"/>
      <c r="JL43" s="262"/>
      <c r="JM43" s="262"/>
      <c r="JN43" s="262"/>
      <c r="JO43" s="262"/>
      <c r="JP43" s="262"/>
      <c r="JQ43" s="262"/>
      <c r="JR43" s="262"/>
      <c r="JS43" s="262"/>
      <c r="JT43" s="262"/>
      <c r="JU43" s="262"/>
      <c r="JV43" s="262"/>
      <c r="JW43" s="262"/>
      <c r="JX43" s="262"/>
      <c r="JY43" s="262"/>
      <c r="JZ43" s="262"/>
      <c r="KA43" s="262"/>
      <c r="KB43" s="262"/>
      <c r="KC43" s="262"/>
      <c r="KD43" s="262"/>
      <c r="KE43" s="262"/>
      <c r="KF43" s="262"/>
      <c r="KG43" s="262"/>
      <c r="KH43" s="262"/>
      <c r="KI43" s="262"/>
      <c r="KJ43" s="262"/>
      <c r="KK43" s="262"/>
      <c r="KL43" s="262"/>
      <c r="KM43" s="262"/>
      <c r="KN43" s="262"/>
      <c r="KO43" s="262"/>
      <c r="KP43" s="262"/>
      <c r="KQ43" s="262"/>
      <c r="KR43" s="262"/>
      <c r="KS43" s="262"/>
      <c r="KT43" s="262"/>
      <c r="KU43" s="262"/>
      <c r="KV43" s="262"/>
      <c r="KW43" s="262"/>
      <c r="KX43" s="262"/>
      <c r="KY43" s="262"/>
      <c r="KZ43" s="262"/>
    </row>
    <row r="44" spans="1:312" s="106" customFormat="1" ht="50" customHeight="1">
      <c r="A44" s="263" t="s">
        <v>124</v>
      </c>
      <c r="B44" s="264"/>
      <c r="C44" s="86"/>
      <c r="D44" s="86"/>
      <c r="E44" s="60">
        <v>1715</v>
      </c>
      <c r="F44" s="86" t="e">
        <f t="shared" si="0"/>
        <v>#DIV/0!</v>
      </c>
      <c r="G44" s="87">
        <v>8</v>
      </c>
      <c r="H44" s="87">
        <v>10</v>
      </c>
      <c r="I44" s="87"/>
      <c r="J44" s="87" t="s">
        <v>204</v>
      </c>
      <c r="K44" s="89" t="s">
        <v>699</v>
      </c>
      <c r="L44" s="90" t="s">
        <v>689</v>
      </c>
      <c r="M44" s="90" t="s">
        <v>689</v>
      </c>
      <c r="N44" s="91" t="s">
        <v>335</v>
      </c>
      <c r="O44" s="91" t="s">
        <v>335</v>
      </c>
      <c r="P44" s="92"/>
      <c r="Q44" s="95" t="s">
        <v>689</v>
      </c>
      <c r="R44" s="95" t="s">
        <v>689</v>
      </c>
      <c r="S44" s="60">
        <v>1715</v>
      </c>
      <c r="T44" s="263">
        <f t="shared" si="1"/>
        <v>13720</v>
      </c>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c r="EZ44" s="262"/>
      <c r="FA44" s="262"/>
      <c r="FB44" s="262"/>
      <c r="FC44" s="262"/>
      <c r="FD44" s="262"/>
      <c r="FE44" s="262"/>
      <c r="FF44" s="262"/>
      <c r="FG44" s="262"/>
      <c r="FH44" s="262"/>
      <c r="FI44" s="262"/>
      <c r="FJ44" s="262"/>
      <c r="FK44" s="262"/>
      <c r="FL44" s="262"/>
      <c r="FM44" s="262"/>
      <c r="FN44" s="262"/>
      <c r="FO44" s="262"/>
      <c r="FP44" s="262"/>
      <c r="FQ44" s="262"/>
      <c r="FR44" s="262"/>
      <c r="FS44" s="262"/>
      <c r="FT44" s="262"/>
      <c r="FU44" s="262"/>
      <c r="FV44" s="262"/>
      <c r="FW44" s="262"/>
      <c r="FX44" s="262"/>
      <c r="FY44" s="262"/>
      <c r="FZ44" s="262"/>
      <c r="GA44" s="262"/>
      <c r="GB44" s="262"/>
      <c r="GC44" s="262"/>
      <c r="GD44" s="262"/>
      <c r="GE44" s="262"/>
      <c r="GF44" s="262"/>
      <c r="GG44" s="262"/>
      <c r="GH44" s="262"/>
      <c r="GI44" s="262"/>
      <c r="GJ44" s="262"/>
      <c r="GK44" s="262"/>
      <c r="GL44" s="262"/>
      <c r="GM44" s="262"/>
      <c r="GN44" s="262"/>
      <c r="GO44" s="262"/>
      <c r="GP44" s="262"/>
      <c r="GQ44" s="262"/>
      <c r="GR44" s="262"/>
      <c r="GS44" s="262"/>
      <c r="GT44" s="262"/>
      <c r="GU44" s="262"/>
      <c r="GV44" s="262"/>
      <c r="GW44" s="262"/>
      <c r="GX44" s="262"/>
      <c r="GY44" s="262"/>
      <c r="GZ44" s="262"/>
      <c r="HA44" s="262"/>
      <c r="HB44" s="262"/>
      <c r="HC44" s="262"/>
      <c r="HD44" s="262"/>
      <c r="HE44" s="262"/>
      <c r="HF44" s="262"/>
      <c r="HG44" s="262"/>
      <c r="HH44" s="262"/>
      <c r="HI44" s="262"/>
      <c r="HJ44" s="262"/>
      <c r="HK44" s="262"/>
      <c r="HL44" s="262"/>
      <c r="HM44" s="262"/>
      <c r="HN44" s="262"/>
      <c r="HO44" s="262"/>
      <c r="HP44" s="262"/>
      <c r="HQ44" s="262"/>
      <c r="HR44" s="262"/>
      <c r="HS44" s="262"/>
      <c r="HT44" s="262"/>
      <c r="HU44" s="262"/>
      <c r="HV44" s="262"/>
      <c r="HW44" s="262"/>
      <c r="HX44" s="262"/>
      <c r="HY44" s="262"/>
      <c r="HZ44" s="262"/>
      <c r="IA44" s="262"/>
      <c r="IB44" s="262"/>
      <c r="IC44" s="262"/>
      <c r="ID44" s="262"/>
      <c r="IE44" s="262"/>
      <c r="IF44" s="262"/>
      <c r="IG44" s="262"/>
      <c r="IH44" s="262"/>
      <c r="II44" s="262"/>
      <c r="IJ44" s="262"/>
      <c r="IK44" s="262"/>
      <c r="IL44" s="262"/>
      <c r="IM44" s="262"/>
      <c r="IN44" s="262"/>
      <c r="IO44" s="262"/>
      <c r="IP44" s="262"/>
      <c r="IQ44" s="262"/>
      <c r="IR44" s="262"/>
      <c r="IS44" s="262"/>
      <c r="IT44" s="262"/>
      <c r="IU44" s="262"/>
      <c r="IV44" s="262"/>
      <c r="IW44" s="262"/>
      <c r="IX44" s="262"/>
      <c r="IY44" s="262"/>
      <c r="IZ44" s="262"/>
      <c r="JA44" s="262"/>
      <c r="JB44" s="262"/>
      <c r="JC44" s="262"/>
      <c r="JD44" s="262"/>
      <c r="JE44" s="262"/>
      <c r="JF44" s="262"/>
      <c r="JG44" s="262"/>
      <c r="JH44" s="262"/>
      <c r="JI44" s="262"/>
      <c r="JJ44" s="262"/>
      <c r="JK44" s="262"/>
      <c r="JL44" s="262"/>
      <c r="JM44" s="262"/>
      <c r="JN44" s="262"/>
      <c r="JO44" s="262"/>
      <c r="JP44" s="262"/>
      <c r="JQ44" s="262"/>
      <c r="JR44" s="262"/>
      <c r="JS44" s="262"/>
      <c r="JT44" s="262"/>
      <c r="JU44" s="262"/>
      <c r="JV44" s="262"/>
      <c r="JW44" s="262"/>
      <c r="JX44" s="262"/>
      <c r="JY44" s="262"/>
      <c r="JZ44" s="262"/>
      <c r="KA44" s="262"/>
      <c r="KB44" s="262"/>
      <c r="KC44" s="262"/>
      <c r="KD44" s="262"/>
      <c r="KE44" s="262"/>
      <c r="KF44" s="262"/>
      <c r="KG44" s="262"/>
      <c r="KH44" s="262"/>
      <c r="KI44" s="262"/>
      <c r="KJ44" s="262"/>
      <c r="KK44" s="262"/>
      <c r="KL44" s="262"/>
      <c r="KM44" s="262"/>
      <c r="KN44" s="262"/>
      <c r="KO44" s="262"/>
      <c r="KP44" s="262"/>
      <c r="KQ44" s="262"/>
      <c r="KR44" s="262"/>
      <c r="KS44" s="262"/>
      <c r="KT44" s="262"/>
      <c r="KU44" s="262"/>
      <c r="KV44" s="262"/>
      <c r="KW44" s="262"/>
      <c r="KX44" s="262"/>
      <c r="KY44" s="262"/>
      <c r="KZ44" s="262"/>
    </row>
    <row r="45" spans="1:312" s="85" customFormat="1" ht="50" customHeight="1">
      <c r="A45" s="263" t="s">
        <v>176</v>
      </c>
      <c r="B45" s="264"/>
      <c r="C45" s="86"/>
      <c r="D45" s="86"/>
      <c r="E45" s="60">
        <v>1599</v>
      </c>
      <c r="F45" s="86" t="e">
        <f t="shared" si="0"/>
        <v>#DIV/0!</v>
      </c>
      <c r="G45" s="87">
        <v>8</v>
      </c>
      <c r="H45" s="87">
        <v>10</v>
      </c>
      <c r="I45" s="87"/>
      <c r="J45" s="264" t="s">
        <v>204</v>
      </c>
      <c r="K45" s="265" t="s">
        <v>492</v>
      </c>
      <c r="L45" s="97" t="s">
        <v>689</v>
      </c>
      <c r="M45" s="98"/>
      <c r="N45" s="99" t="s">
        <v>335</v>
      </c>
      <c r="O45" s="99" t="s">
        <v>335</v>
      </c>
      <c r="P45" s="266"/>
      <c r="Q45" s="93" t="s">
        <v>689</v>
      </c>
      <c r="R45" s="93"/>
      <c r="S45" s="60">
        <v>1599</v>
      </c>
      <c r="T45" s="263">
        <f t="shared" si="1"/>
        <v>12792</v>
      </c>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c r="DV45" s="262"/>
      <c r="DW45" s="262"/>
      <c r="DX45" s="262"/>
      <c r="DY45" s="262"/>
      <c r="DZ45" s="262"/>
      <c r="EA45" s="262"/>
      <c r="EB45" s="262"/>
      <c r="EC45" s="262"/>
      <c r="ED45" s="262"/>
      <c r="EE45" s="262"/>
      <c r="EF45" s="262"/>
      <c r="EG45" s="262"/>
      <c r="EH45" s="262"/>
      <c r="EI45" s="262"/>
      <c r="EJ45" s="262"/>
      <c r="EK45" s="262"/>
      <c r="EL45" s="262"/>
      <c r="EM45" s="262"/>
      <c r="EN45" s="262"/>
      <c r="EO45" s="262"/>
      <c r="EP45" s="262"/>
      <c r="EQ45" s="262"/>
      <c r="ER45" s="262"/>
      <c r="ES45" s="262"/>
      <c r="ET45" s="262"/>
      <c r="EU45" s="262"/>
      <c r="EV45" s="262"/>
      <c r="EW45" s="262"/>
      <c r="EX45" s="262"/>
      <c r="EY45" s="262"/>
      <c r="EZ45" s="262"/>
      <c r="FA45" s="262"/>
      <c r="FB45" s="262"/>
      <c r="FC45" s="262"/>
      <c r="FD45" s="262"/>
      <c r="FE45" s="262"/>
      <c r="FF45" s="262"/>
      <c r="FG45" s="262"/>
      <c r="FH45" s="262"/>
      <c r="FI45" s="262"/>
      <c r="FJ45" s="262"/>
      <c r="FK45" s="262"/>
      <c r="FL45" s="262"/>
      <c r="FM45" s="262"/>
      <c r="FN45" s="262"/>
      <c r="FO45" s="262"/>
      <c r="FP45" s="262"/>
      <c r="FQ45" s="262"/>
      <c r="FR45" s="262"/>
      <c r="FS45" s="262"/>
      <c r="FT45" s="262"/>
      <c r="FU45" s="262"/>
      <c r="FV45" s="262"/>
      <c r="FW45" s="262"/>
      <c r="FX45" s="262"/>
      <c r="FY45" s="262"/>
      <c r="FZ45" s="262"/>
      <c r="GA45" s="262"/>
      <c r="GB45" s="262"/>
      <c r="GC45" s="262"/>
      <c r="GD45" s="262"/>
      <c r="GE45" s="262"/>
      <c r="GF45" s="262"/>
      <c r="GG45" s="262"/>
      <c r="GH45" s="262"/>
      <c r="GI45" s="262"/>
      <c r="GJ45" s="262"/>
      <c r="GK45" s="262"/>
      <c r="GL45" s="262"/>
      <c r="GM45" s="262"/>
      <c r="GN45" s="262"/>
      <c r="GO45" s="262"/>
      <c r="GP45" s="262"/>
      <c r="GQ45" s="262"/>
      <c r="GR45" s="262"/>
      <c r="GS45" s="262"/>
      <c r="GT45" s="262"/>
      <c r="GU45" s="262"/>
      <c r="GV45" s="262"/>
      <c r="GW45" s="262"/>
      <c r="GX45" s="262"/>
      <c r="GY45" s="262"/>
      <c r="GZ45" s="262"/>
      <c r="HA45" s="262"/>
      <c r="HB45" s="262"/>
      <c r="HC45" s="262"/>
      <c r="HD45" s="262"/>
      <c r="HE45" s="262"/>
      <c r="HF45" s="262"/>
      <c r="HG45" s="262"/>
      <c r="HH45" s="262"/>
      <c r="HI45" s="262"/>
      <c r="HJ45" s="262"/>
      <c r="HK45" s="262"/>
      <c r="HL45" s="262"/>
      <c r="HM45" s="262"/>
      <c r="HN45" s="262"/>
      <c r="HO45" s="262"/>
      <c r="HP45" s="262"/>
      <c r="HQ45" s="262"/>
      <c r="HR45" s="262"/>
      <c r="HS45" s="262"/>
      <c r="HT45" s="262"/>
      <c r="HU45" s="262"/>
      <c r="HV45" s="262"/>
      <c r="HW45" s="262"/>
      <c r="HX45" s="262"/>
      <c r="HY45" s="262"/>
      <c r="HZ45" s="262"/>
      <c r="IA45" s="262"/>
      <c r="IB45" s="262"/>
      <c r="IC45" s="262"/>
      <c r="ID45" s="262"/>
      <c r="IE45" s="262"/>
      <c r="IF45" s="262"/>
      <c r="IG45" s="262"/>
      <c r="IH45" s="262"/>
      <c r="II45" s="262"/>
      <c r="IJ45" s="262"/>
      <c r="IK45" s="262"/>
      <c r="IL45" s="262"/>
      <c r="IM45" s="262"/>
      <c r="IN45" s="262"/>
      <c r="IO45" s="262"/>
      <c r="IP45" s="262"/>
      <c r="IQ45" s="262"/>
      <c r="IR45" s="262"/>
      <c r="IS45" s="262"/>
      <c r="IT45" s="262"/>
      <c r="IU45" s="262"/>
      <c r="IV45" s="262"/>
      <c r="IW45" s="262"/>
      <c r="IX45" s="262"/>
      <c r="IY45" s="262"/>
      <c r="IZ45" s="262"/>
      <c r="JA45" s="262"/>
      <c r="JB45" s="262"/>
      <c r="JC45" s="262"/>
      <c r="JD45" s="262"/>
      <c r="JE45" s="262"/>
      <c r="JF45" s="262"/>
      <c r="JG45" s="262"/>
      <c r="JH45" s="262"/>
      <c r="JI45" s="262"/>
      <c r="JJ45" s="262"/>
      <c r="JK45" s="262"/>
      <c r="JL45" s="262"/>
      <c r="JM45" s="262"/>
      <c r="JN45" s="262"/>
      <c r="JO45" s="262"/>
      <c r="JP45" s="262"/>
      <c r="JQ45" s="262"/>
      <c r="JR45" s="262"/>
      <c r="JS45" s="262"/>
      <c r="JT45" s="262"/>
      <c r="JU45" s="262"/>
      <c r="JV45" s="262"/>
      <c r="JW45" s="262"/>
      <c r="JX45" s="262"/>
      <c r="JY45" s="262"/>
      <c r="JZ45" s="262"/>
      <c r="KA45" s="262"/>
      <c r="KB45" s="262"/>
      <c r="KC45" s="262"/>
      <c r="KD45" s="262"/>
      <c r="KE45" s="262"/>
      <c r="KF45" s="262"/>
      <c r="KG45" s="262"/>
      <c r="KH45" s="262"/>
      <c r="KI45" s="262"/>
      <c r="KJ45" s="262"/>
      <c r="KK45" s="262"/>
      <c r="KL45" s="262"/>
      <c r="KM45" s="262"/>
      <c r="KN45" s="262"/>
      <c r="KO45" s="262"/>
      <c r="KP45" s="262"/>
      <c r="KQ45" s="262"/>
      <c r="KR45" s="262"/>
      <c r="KS45" s="262"/>
      <c r="KT45" s="262"/>
      <c r="KU45" s="262"/>
      <c r="KV45" s="262"/>
      <c r="KW45" s="262"/>
      <c r="KX45" s="262"/>
      <c r="KY45" s="262"/>
      <c r="KZ45" s="262"/>
    </row>
    <row r="46" spans="1:312" s="106" customFormat="1" ht="50" customHeight="1">
      <c r="A46" s="263" t="s">
        <v>173</v>
      </c>
      <c r="B46" s="264"/>
      <c r="C46" s="86"/>
      <c r="D46" s="86"/>
      <c r="E46" s="60">
        <v>1599</v>
      </c>
      <c r="F46" s="86" t="e">
        <f t="shared" si="0"/>
        <v>#DIV/0!</v>
      </c>
      <c r="G46" s="87">
        <v>8</v>
      </c>
      <c r="H46" s="87">
        <v>10</v>
      </c>
      <c r="I46" s="87"/>
      <c r="J46" s="264" t="s">
        <v>204</v>
      </c>
      <c r="K46" s="265" t="s">
        <v>483</v>
      </c>
      <c r="L46" s="97" t="s">
        <v>689</v>
      </c>
      <c r="M46" s="98"/>
      <c r="N46" s="99" t="s">
        <v>335</v>
      </c>
      <c r="O46" s="99" t="s">
        <v>335</v>
      </c>
      <c r="P46" s="266"/>
      <c r="Q46" s="93" t="s">
        <v>689</v>
      </c>
      <c r="R46" s="93"/>
      <c r="S46" s="60">
        <v>1599</v>
      </c>
      <c r="T46" s="263">
        <f t="shared" si="1"/>
        <v>12792</v>
      </c>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c r="DA46" s="262"/>
      <c r="DB46" s="262"/>
      <c r="DC46" s="262"/>
      <c r="DD46" s="262"/>
      <c r="DE46" s="262"/>
      <c r="DF46" s="262"/>
      <c r="DG46" s="262"/>
      <c r="DH46" s="262"/>
      <c r="DI46" s="262"/>
      <c r="DJ46" s="262"/>
      <c r="DK46" s="262"/>
      <c r="DL46" s="262"/>
      <c r="DM46" s="262"/>
      <c r="DN46" s="262"/>
      <c r="DO46" s="262"/>
      <c r="DP46" s="262"/>
      <c r="DQ46" s="262"/>
      <c r="DR46" s="262"/>
      <c r="DS46" s="262"/>
      <c r="DT46" s="262"/>
      <c r="DU46" s="262"/>
      <c r="DV46" s="262"/>
      <c r="DW46" s="262"/>
      <c r="DX46" s="262"/>
      <c r="DY46" s="262"/>
      <c r="DZ46" s="262"/>
      <c r="EA46" s="262"/>
      <c r="EB46" s="262"/>
      <c r="EC46" s="262"/>
      <c r="ED46" s="262"/>
      <c r="EE46" s="262"/>
      <c r="EF46" s="262"/>
      <c r="EG46" s="262"/>
      <c r="EH46" s="262"/>
      <c r="EI46" s="262"/>
      <c r="EJ46" s="262"/>
      <c r="EK46" s="262"/>
      <c r="EL46" s="262"/>
      <c r="EM46" s="262"/>
      <c r="EN46" s="262"/>
      <c r="EO46" s="262"/>
      <c r="EP46" s="262"/>
      <c r="EQ46" s="262"/>
      <c r="ER46" s="262"/>
      <c r="ES46" s="262"/>
      <c r="ET46" s="262"/>
      <c r="EU46" s="262"/>
      <c r="EV46" s="262"/>
      <c r="EW46" s="262"/>
      <c r="EX46" s="262"/>
      <c r="EY46" s="262"/>
      <c r="EZ46" s="262"/>
      <c r="FA46" s="262"/>
      <c r="FB46" s="262"/>
      <c r="FC46" s="262"/>
      <c r="FD46" s="262"/>
      <c r="FE46" s="262"/>
      <c r="FF46" s="262"/>
      <c r="FG46" s="262"/>
      <c r="FH46" s="262"/>
      <c r="FI46" s="262"/>
      <c r="FJ46" s="262"/>
      <c r="FK46" s="262"/>
      <c r="FL46" s="262"/>
      <c r="FM46" s="262"/>
      <c r="FN46" s="262"/>
      <c r="FO46" s="262"/>
      <c r="FP46" s="262"/>
      <c r="FQ46" s="262"/>
      <c r="FR46" s="262"/>
      <c r="FS46" s="262"/>
      <c r="FT46" s="262"/>
      <c r="FU46" s="262"/>
      <c r="FV46" s="262"/>
      <c r="FW46" s="262"/>
      <c r="FX46" s="262"/>
      <c r="FY46" s="262"/>
      <c r="FZ46" s="262"/>
      <c r="GA46" s="262"/>
      <c r="GB46" s="262"/>
      <c r="GC46" s="262"/>
      <c r="GD46" s="262"/>
      <c r="GE46" s="262"/>
      <c r="GF46" s="262"/>
      <c r="GG46" s="262"/>
      <c r="GH46" s="262"/>
      <c r="GI46" s="262"/>
      <c r="GJ46" s="262"/>
      <c r="GK46" s="262"/>
      <c r="GL46" s="262"/>
      <c r="GM46" s="262"/>
      <c r="GN46" s="262"/>
      <c r="GO46" s="262"/>
      <c r="GP46" s="262"/>
      <c r="GQ46" s="262"/>
      <c r="GR46" s="262"/>
      <c r="GS46" s="262"/>
      <c r="GT46" s="262"/>
      <c r="GU46" s="262"/>
      <c r="GV46" s="262"/>
      <c r="GW46" s="262"/>
      <c r="GX46" s="262"/>
      <c r="GY46" s="262"/>
      <c r="GZ46" s="262"/>
      <c r="HA46" s="262"/>
      <c r="HB46" s="262"/>
      <c r="HC46" s="262"/>
      <c r="HD46" s="262"/>
      <c r="HE46" s="262"/>
      <c r="HF46" s="262"/>
      <c r="HG46" s="262"/>
      <c r="HH46" s="262"/>
      <c r="HI46" s="262"/>
      <c r="HJ46" s="262"/>
      <c r="HK46" s="262"/>
      <c r="HL46" s="262"/>
      <c r="HM46" s="262"/>
      <c r="HN46" s="262"/>
      <c r="HO46" s="262"/>
      <c r="HP46" s="262"/>
      <c r="HQ46" s="262"/>
      <c r="HR46" s="262"/>
      <c r="HS46" s="262"/>
      <c r="HT46" s="262"/>
      <c r="HU46" s="262"/>
      <c r="HV46" s="262"/>
      <c r="HW46" s="262"/>
      <c r="HX46" s="262"/>
      <c r="HY46" s="262"/>
      <c r="HZ46" s="262"/>
      <c r="IA46" s="262"/>
      <c r="IB46" s="262"/>
      <c r="IC46" s="262"/>
      <c r="ID46" s="262"/>
      <c r="IE46" s="262"/>
      <c r="IF46" s="262"/>
      <c r="IG46" s="262"/>
      <c r="IH46" s="262"/>
      <c r="II46" s="262"/>
      <c r="IJ46" s="262"/>
      <c r="IK46" s="262"/>
      <c r="IL46" s="262"/>
      <c r="IM46" s="262"/>
      <c r="IN46" s="262"/>
      <c r="IO46" s="262"/>
      <c r="IP46" s="262"/>
      <c r="IQ46" s="262"/>
      <c r="IR46" s="262"/>
      <c r="IS46" s="262"/>
      <c r="IT46" s="262"/>
      <c r="IU46" s="262"/>
      <c r="IV46" s="262"/>
      <c r="IW46" s="262"/>
      <c r="IX46" s="262"/>
      <c r="IY46" s="262"/>
      <c r="IZ46" s="262"/>
      <c r="JA46" s="262"/>
      <c r="JB46" s="262"/>
      <c r="JC46" s="262"/>
      <c r="JD46" s="262"/>
      <c r="JE46" s="262"/>
      <c r="JF46" s="262"/>
      <c r="JG46" s="262"/>
      <c r="JH46" s="262"/>
      <c r="JI46" s="262"/>
      <c r="JJ46" s="262"/>
      <c r="JK46" s="262"/>
      <c r="JL46" s="262"/>
      <c r="JM46" s="262"/>
      <c r="JN46" s="262"/>
      <c r="JO46" s="262"/>
      <c r="JP46" s="262"/>
      <c r="JQ46" s="262"/>
      <c r="JR46" s="262"/>
      <c r="JS46" s="262"/>
      <c r="JT46" s="262"/>
      <c r="JU46" s="262"/>
      <c r="JV46" s="262"/>
      <c r="JW46" s="262"/>
      <c r="JX46" s="262"/>
      <c r="JY46" s="262"/>
      <c r="JZ46" s="262"/>
      <c r="KA46" s="262"/>
      <c r="KB46" s="262"/>
      <c r="KC46" s="262"/>
      <c r="KD46" s="262"/>
      <c r="KE46" s="262"/>
      <c r="KF46" s="262"/>
      <c r="KG46" s="262"/>
      <c r="KH46" s="262"/>
      <c r="KI46" s="262"/>
      <c r="KJ46" s="262"/>
      <c r="KK46" s="262"/>
      <c r="KL46" s="262"/>
      <c r="KM46" s="262"/>
      <c r="KN46" s="262"/>
      <c r="KO46" s="262"/>
      <c r="KP46" s="262"/>
      <c r="KQ46" s="262"/>
      <c r="KR46" s="262"/>
      <c r="KS46" s="262"/>
      <c r="KT46" s="262"/>
      <c r="KU46" s="262"/>
      <c r="KV46" s="262"/>
      <c r="KW46" s="262"/>
      <c r="KX46" s="262"/>
      <c r="KY46" s="262"/>
      <c r="KZ46" s="262"/>
    </row>
    <row r="47" spans="1:312" s="85" customFormat="1" ht="50" customHeight="1">
      <c r="A47" s="263" t="s">
        <v>134</v>
      </c>
      <c r="B47" s="264"/>
      <c r="C47" s="86"/>
      <c r="D47" s="86"/>
      <c r="E47" s="60">
        <v>68</v>
      </c>
      <c r="F47" s="86" t="e">
        <f t="shared" si="0"/>
        <v>#DIV/0!</v>
      </c>
      <c r="G47" s="87">
        <v>8</v>
      </c>
      <c r="H47" s="87">
        <v>10</v>
      </c>
      <c r="I47" s="87"/>
      <c r="J47" s="87" t="s">
        <v>204</v>
      </c>
      <c r="K47" s="89" t="s">
        <v>349</v>
      </c>
      <c r="L47" s="94"/>
      <c r="M47" s="94"/>
      <c r="N47" s="91"/>
      <c r="O47" s="91" t="s">
        <v>335</v>
      </c>
      <c r="P47" s="92"/>
      <c r="Q47" s="95" t="s">
        <v>689</v>
      </c>
      <c r="R47" s="95"/>
      <c r="S47" s="60">
        <v>68</v>
      </c>
      <c r="T47" s="263">
        <f t="shared" si="1"/>
        <v>544</v>
      </c>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c r="CY47" s="262"/>
      <c r="CZ47" s="262"/>
      <c r="DA47" s="262"/>
      <c r="DB47" s="262"/>
      <c r="DC47" s="262"/>
      <c r="DD47" s="262"/>
      <c r="DE47" s="262"/>
      <c r="DF47" s="262"/>
      <c r="DG47" s="262"/>
      <c r="DH47" s="262"/>
      <c r="DI47" s="262"/>
      <c r="DJ47" s="262"/>
      <c r="DK47" s="262"/>
      <c r="DL47" s="262"/>
      <c r="DM47" s="262"/>
      <c r="DN47" s="262"/>
      <c r="DO47" s="262"/>
      <c r="DP47" s="262"/>
      <c r="DQ47" s="262"/>
      <c r="DR47" s="262"/>
      <c r="DS47" s="262"/>
      <c r="DT47" s="262"/>
      <c r="DU47" s="262"/>
      <c r="DV47" s="262"/>
      <c r="DW47" s="262"/>
      <c r="DX47" s="262"/>
      <c r="DY47" s="262"/>
      <c r="DZ47" s="262"/>
      <c r="EA47" s="262"/>
      <c r="EB47" s="262"/>
      <c r="EC47" s="262"/>
      <c r="ED47" s="262"/>
      <c r="EE47" s="262"/>
      <c r="EF47" s="262"/>
      <c r="EG47" s="262"/>
      <c r="EH47" s="262"/>
      <c r="EI47" s="262"/>
      <c r="EJ47" s="262"/>
      <c r="EK47" s="262"/>
      <c r="EL47" s="262"/>
      <c r="EM47" s="262"/>
      <c r="EN47" s="262"/>
      <c r="EO47" s="262"/>
      <c r="EP47" s="262"/>
      <c r="EQ47" s="262"/>
      <c r="ER47" s="262"/>
      <c r="ES47" s="262"/>
      <c r="ET47" s="262"/>
      <c r="EU47" s="262"/>
      <c r="EV47" s="262"/>
      <c r="EW47" s="262"/>
      <c r="EX47" s="262"/>
      <c r="EY47" s="262"/>
      <c r="EZ47" s="262"/>
      <c r="FA47" s="262"/>
      <c r="FB47" s="262"/>
      <c r="FC47" s="262"/>
      <c r="FD47" s="262"/>
      <c r="FE47" s="262"/>
      <c r="FF47" s="262"/>
      <c r="FG47" s="262"/>
      <c r="FH47" s="262"/>
      <c r="FI47" s="262"/>
      <c r="FJ47" s="262"/>
      <c r="FK47" s="262"/>
      <c r="FL47" s="262"/>
      <c r="FM47" s="262"/>
      <c r="FN47" s="262"/>
      <c r="FO47" s="262"/>
      <c r="FP47" s="262"/>
      <c r="FQ47" s="262"/>
      <c r="FR47" s="262"/>
      <c r="FS47" s="262"/>
      <c r="FT47" s="262"/>
      <c r="FU47" s="262"/>
      <c r="FV47" s="262"/>
      <c r="FW47" s="262"/>
      <c r="FX47" s="262"/>
      <c r="FY47" s="262"/>
      <c r="FZ47" s="262"/>
      <c r="GA47" s="262"/>
      <c r="GB47" s="262"/>
      <c r="GC47" s="262"/>
      <c r="GD47" s="262"/>
      <c r="GE47" s="262"/>
      <c r="GF47" s="262"/>
      <c r="GG47" s="262"/>
      <c r="GH47" s="262"/>
      <c r="GI47" s="262"/>
      <c r="GJ47" s="262"/>
      <c r="GK47" s="262"/>
      <c r="GL47" s="262"/>
      <c r="GM47" s="262"/>
      <c r="GN47" s="262"/>
      <c r="GO47" s="262"/>
      <c r="GP47" s="262"/>
      <c r="GQ47" s="262"/>
      <c r="GR47" s="262"/>
      <c r="GS47" s="262"/>
      <c r="GT47" s="262"/>
      <c r="GU47" s="262"/>
      <c r="GV47" s="262"/>
      <c r="GW47" s="262"/>
      <c r="GX47" s="262"/>
      <c r="GY47" s="262"/>
      <c r="GZ47" s="262"/>
      <c r="HA47" s="262"/>
      <c r="HB47" s="262"/>
      <c r="HC47" s="262"/>
      <c r="HD47" s="262"/>
      <c r="HE47" s="262"/>
      <c r="HF47" s="262"/>
      <c r="HG47" s="262"/>
      <c r="HH47" s="262"/>
      <c r="HI47" s="262"/>
      <c r="HJ47" s="262"/>
      <c r="HK47" s="262"/>
      <c r="HL47" s="262"/>
      <c r="HM47" s="262"/>
      <c r="HN47" s="262"/>
      <c r="HO47" s="262"/>
      <c r="HP47" s="262"/>
      <c r="HQ47" s="262"/>
      <c r="HR47" s="262"/>
      <c r="HS47" s="262"/>
      <c r="HT47" s="262"/>
      <c r="HU47" s="262"/>
      <c r="HV47" s="262"/>
      <c r="HW47" s="262"/>
      <c r="HX47" s="262"/>
      <c r="HY47" s="262"/>
      <c r="HZ47" s="262"/>
      <c r="IA47" s="262"/>
      <c r="IB47" s="262"/>
      <c r="IC47" s="262"/>
      <c r="ID47" s="262"/>
      <c r="IE47" s="262"/>
      <c r="IF47" s="262"/>
      <c r="IG47" s="262"/>
      <c r="IH47" s="262"/>
      <c r="II47" s="262"/>
      <c r="IJ47" s="262"/>
      <c r="IK47" s="262"/>
      <c r="IL47" s="262"/>
      <c r="IM47" s="262"/>
      <c r="IN47" s="262"/>
      <c r="IO47" s="262"/>
      <c r="IP47" s="262"/>
      <c r="IQ47" s="262"/>
      <c r="IR47" s="262"/>
      <c r="IS47" s="262"/>
      <c r="IT47" s="262"/>
      <c r="IU47" s="262"/>
      <c r="IV47" s="262"/>
      <c r="IW47" s="262"/>
      <c r="IX47" s="262"/>
      <c r="IY47" s="262"/>
      <c r="IZ47" s="262"/>
      <c r="JA47" s="262"/>
      <c r="JB47" s="262"/>
      <c r="JC47" s="262"/>
      <c r="JD47" s="262"/>
      <c r="JE47" s="262"/>
      <c r="JF47" s="262"/>
      <c r="JG47" s="262"/>
      <c r="JH47" s="262"/>
      <c r="JI47" s="262"/>
      <c r="JJ47" s="262"/>
      <c r="JK47" s="262"/>
      <c r="JL47" s="262"/>
      <c r="JM47" s="262"/>
      <c r="JN47" s="262"/>
      <c r="JO47" s="262"/>
      <c r="JP47" s="262"/>
      <c r="JQ47" s="262"/>
      <c r="JR47" s="262"/>
      <c r="JS47" s="262"/>
      <c r="JT47" s="262"/>
      <c r="JU47" s="262"/>
      <c r="JV47" s="262"/>
      <c r="JW47" s="262"/>
      <c r="JX47" s="262"/>
      <c r="JY47" s="262"/>
      <c r="JZ47" s="262"/>
      <c r="KA47" s="262"/>
      <c r="KB47" s="262"/>
      <c r="KC47" s="262"/>
      <c r="KD47" s="262"/>
      <c r="KE47" s="262"/>
      <c r="KF47" s="262"/>
      <c r="KG47" s="262"/>
      <c r="KH47" s="262"/>
      <c r="KI47" s="262"/>
      <c r="KJ47" s="262"/>
      <c r="KK47" s="262"/>
      <c r="KL47" s="262"/>
      <c r="KM47" s="262"/>
      <c r="KN47" s="262"/>
      <c r="KO47" s="262"/>
      <c r="KP47" s="262"/>
      <c r="KQ47" s="262"/>
      <c r="KR47" s="262"/>
      <c r="KS47" s="262"/>
      <c r="KT47" s="262"/>
      <c r="KU47" s="262"/>
      <c r="KV47" s="262"/>
      <c r="KW47" s="262"/>
      <c r="KX47" s="262"/>
      <c r="KY47" s="262"/>
      <c r="KZ47" s="262"/>
    </row>
    <row r="48" spans="1:312" s="85" customFormat="1" ht="50" customHeight="1">
      <c r="A48" s="263" t="s">
        <v>116</v>
      </c>
      <c r="B48" s="264"/>
      <c r="C48" s="86"/>
      <c r="D48" s="86"/>
      <c r="E48" s="60">
        <v>1599</v>
      </c>
      <c r="F48" s="86" t="e">
        <f t="shared" si="0"/>
        <v>#DIV/0!</v>
      </c>
      <c r="G48" s="87">
        <v>8</v>
      </c>
      <c r="H48" s="87">
        <v>10</v>
      </c>
      <c r="I48" s="87"/>
      <c r="J48" s="87" t="s">
        <v>204</v>
      </c>
      <c r="K48" s="89" t="s">
        <v>700</v>
      </c>
      <c r="L48" s="90" t="s">
        <v>689</v>
      </c>
      <c r="M48" s="94"/>
      <c r="N48" s="91" t="s">
        <v>335</v>
      </c>
      <c r="O48" s="91" t="s">
        <v>335</v>
      </c>
      <c r="P48" s="92"/>
      <c r="Q48" s="95" t="s">
        <v>689</v>
      </c>
      <c r="R48" s="95"/>
      <c r="S48" s="60">
        <v>1599</v>
      </c>
      <c r="T48" s="263">
        <f t="shared" si="1"/>
        <v>12792</v>
      </c>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c r="DA48" s="262"/>
      <c r="DB48" s="262"/>
      <c r="DC48" s="262"/>
      <c r="DD48" s="262"/>
      <c r="DE48" s="262"/>
      <c r="DF48" s="262"/>
      <c r="DG48" s="262"/>
      <c r="DH48" s="262"/>
      <c r="DI48" s="262"/>
      <c r="DJ48" s="262"/>
      <c r="DK48" s="262"/>
      <c r="DL48" s="262"/>
      <c r="DM48" s="262"/>
      <c r="DN48" s="262"/>
      <c r="DO48" s="262"/>
      <c r="DP48" s="262"/>
      <c r="DQ48" s="262"/>
      <c r="DR48" s="262"/>
      <c r="DS48" s="262"/>
      <c r="DT48" s="262"/>
      <c r="DU48" s="262"/>
      <c r="DV48" s="262"/>
      <c r="DW48" s="262"/>
      <c r="DX48" s="262"/>
      <c r="DY48" s="262"/>
      <c r="DZ48" s="262"/>
      <c r="EA48" s="262"/>
      <c r="EB48" s="262"/>
      <c r="EC48" s="262"/>
      <c r="ED48" s="262"/>
      <c r="EE48" s="262"/>
      <c r="EF48" s="262"/>
      <c r="EG48" s="262"/>
      <c r="EH48" s="262"/>
      <c r="EI48" s="262"/>
      <c r="EJ48" s="262"/>
      <c r="EK48" s="262"/>
      <c r="EL48" s="262"/>
      <c r="EM48" s="262"/>
      <c r="EN48" s="262"/>
      <c r="EO48" s="262"/>
      <c r="EP48" s="262"/>
      <c r="EQ48" s="262"/>
      <c r="ER48" s="262"/>
      <c r="ES48" s="262"/>
      <c r="ET48" s="262"/>
      <c r="EU48" s="262"/>
      <c r="EV48" s="262"/>
      <c r="EW48" s="262"/>
      <c r="EX48" s="262"/>
      <c r="EY48" s="262"/>
      <c r="EZ48" s="262"/>
      <c r="FA48" s="262"/>
      <c r="FB48" s="262"/>
      <c r="FC48" s="262"/>
      <c r="FD48" s="262"/>
      <c r="FE48" s="262"/>
      <c r="FF48" s="262"/>
      <c r="FG48" s="262"/>
      <c r="FH48" s="262"/>
      <c r="FI48" s="262"/>
      <c r="FJ48" s="262"/>
      <c r="FK48" s="262"/>
      <c r="FL48" s="262"/>
      <c r="FM48" s="262"/>
      <c r="FN48" s="262"/>
      <c r="FO48" s="262"/>
      <c r="FP48" s="262"/>
      <c r="FQ48" s="262"/>
      <c r="FR48" s="262"/>
      <c r="FS48" s="262"/>
      <c r="FT48" s="262"/>
      <c r="FU48" s="262"/>
      <c r="FV48" s="262"/>
      <c r="FW48" s="262"/>
      <c r="FX48" s="262"/>
      <c r="FY48" s="262"/>
      <c r="FZ48" s="262"/>
      <c r="GA48" s="262"/>
      <c r="GB48" s="262"/>
      <c r="GC48" s="262"/>
      <c r="GD48" s="262"/>
      <c r="GE48" s="262"/>
      <c r="GF48" s="262"/>
      <c r="GG48" s="262"/>
      <c r="GH48" s="262"/>
      <c r="GI48" s="262"/>
      <c r="GJ48" s="262"/>
      <c r="GK48" s="262"/>
      <c r="GL48" s="262"/>
      <c r="GM48" s="262"/>
      <c r="GN48" s="262"/>
      <c r="GO48" s="262"/>
      <c r="GP48" s="262"/>
      <c r="GQ48" s="262"/>
      <c r="GR48" s="262"/>
      <c r="GS48" s="262"/>
      <c r="GT48" s="262"/>
      <c r="GU48" s="262"/>
      <c r="GV48" s="262"/>
      <c r="GW48" s="262"/>
      <c r="GX48" s="262"/>
      <c r="GY48" s="262"/>
      <c r="GZ48" s="262"/>
      <c r="HA48" s="262"/>
      <c r="HB48" s="262"/>
      <c r="HC48" s="262"/>
      <c r="HD48" s="262"/>
      <c r="HE48" s="262"/>
      <c r="HF48" s="262"/>
      <c r="HG48" s="262"/>
      <c r="HH48" s="262"/>
      <c r="HI48" s="262"/>
      <c r="HJ48" s="262"/>
      <c r="HK48" s="262"/>
      <c r="HL48" s="262"/>
      <c r="HM48" s="262"/>
      <c r="HN48" s="262"/>
      <c r="HO48" s="262"/>
      <c r="HP48" s="262"/>
      <c r="HQ48" s="262"/>
      <c r="HR48" s="262"/>
      <c r="HS48" s="262"/>
      <c r="HT48" s="262"/>
      <c r="HU48" s="262"/>
      <c r="HV48" s="262"/>
      <c r="HW48" s="262"/>
      <c r="HX48" s="262"/>
      <c r="HY48" s="262"/>
      <c r="HZ48" s="262"/>
      <c r="IA48" s="262"/>
      <c r="IB48" s="262"/>
      <c r="IC48" s="262"/>
      <c r="ID48" s="262"/>
      <c r="IE48" s="262"/>
      <c r="IF48" s="262"/>
      <c r="IG48" s="262"/>
      <c r="IH48" s="262"/>
      <c r="II48" s="262"/>
      <c r="IJ48" s="262"/>
      <c r="IK48" s="262"/>
      <c r="IL48" s="262"/>
      <c r="IM48" s="262"/>
      <c r="IN48" s="262"/>
      <c r="IO48" s="262"/>
      <c r="IP48" s="262"/>
      <c r="IQ48" s="262"/>
      <c r="IR48" s="262"/>
      <c r="IS48" s="262"/>
      <c r="IT48" s="262"/>
      <c r="IU48" s="262"/>
      <c r="IV48" s="262"/>
      <c r="IW48" s="262"/>
      <c r="IX48" s="262"/>
      <c r="IY48" s="262"/>
      <c r="IZ48" s="262"/>
      <c r="JA48" s="262"/>
      <c r="JB48" s="262"/>
      <c r="JC48" s="262"/>
      <c r="JD48" s="262"/>
      <c r="JE48" s="262"/>
      <c r="JF48" s="262"/>
      <c r="JG48" s="262"/>
      <c r="JH48" s="262"/>
      <c r="JI48" s="262"/>
      <c r="JJ48" s="262"/>
      <c r="JK48" s="262"/>
      <c r="JL48" s="262"/>
      <c r="JM48" s="262"/>
      <c r="JN48" s="262"/>
      <c r="JO48" s="262"/>
      <c r="JP48" s="262"/>
      <c r="JQ48" s="262"/>
      <c r="JR48" s="262"/>
      <c r="JS48" s="262"/>
      <c r="JT48" s="262"/>
      <c r="JU48" s="262"/>
      <c r="JV48" s="262"/>
      <c r="JW48" s="262"/>
      <c r="JX48" s="262"/>
      <c r="JY48" s="262"/>
      <c r="JZ48" s="262"/>
      <c r="KA48" s="262"/>
      <c r="KB48" s="262"/>
      <c r="KC48" s="262"/>
      <c r="KD48" s="262"/>
      <c r="KE48" s="262"/>
      <c r="KF48" s="262"/>
      <c r="KG48" s="262"/>
      <c r="KH48" s="262"/>
      <c r="KI48" s="262"/>
      <c r="KJ48" s="262"/>
      <c r="KK48" s="262"/>
      <c r="KL48" s="262"/>
      <c r="KM48" s="262"/>
      <c r="KN48" s="262"/>
      <c r="KO48" s="262"/>
      <c r="KP48" s="262"/>
      <c r="KQ48" s="262"/>
      <c r="KR48" s="262"/>
      <c r="KS48" s="262"/>
      <c r="KT48" s="262"/>
      <c r="KU48" s="262"/>
      <c r="KV48" s="262"/>
      <c r="KW48" s="262"/>
      <c r="KX48" s="262"/>
      <c r="KY48" s="262"/>
      <c r="KZ48" s="262"/>
    </row>
    <row r="49" spans="1:312" s="85" customFormat="1" ht="50" customHeight="1">
      <c r="A49" s="263" t="s">
        <v>235</v>
      </c>
      <c r="B49" s="264"/>
      <c r="C49" s="86"/>
      <c r="D49" s="86"/>
      <c r="E49" s="60">
        <v>68</v>
      </c>
      <c r="F49" s="86" t="e">
        <f t="shared" si="0"/>
        <v>#DIV/0!</v>
      </c>
      <c r="G49" s="87">
        <v>8</v>
      </c>
      <c r="H49" s="87">
        <v>10</v>
      </c>
      <c r="I49" s="87"/>
      <c r="J49" s="87" t="s">
        <v>217</v>
      </c>
      <c r="K49" s="89" t="s">
        <v>236</v>
      </c>
      <c r="L49" s="94"/>
      <c r="M49" s="94"/>
      <c r="N49" s="91"/>
      <c r="O49" s="91" t="s">
        <v>335</v>
      </c>
      <c r="P49" s="92"/>
      <c r="Q49" s="93" t="s">
        <v>689</v>
      </c>
      <c r="R49" s="95"/>
      <c r="S49" s="60">
        <v>68</v>
      </c>
      <c r="T49" s="263">
        <f t="shared" si="1"/>
        <v>544</v>
      </c>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c r="CY49" s="262"/>
      <c r="CZ49" s="262"/>
      <c r="DA49" s="262"/>
      <c r="DB49" s="262"/>
      <c r="DC49" s="262"/>
      <c r="DD49" s="262"/>
      <c r="DE49" s="262"/>
      <c r="DF49" s="262"/>
      <c r="DG49" s="262"/>
      <c r="DH49" s="262"/>
      <c r="DI49" s="262"/>
      <c r="DJ49" s="262"/>
      <c r="DK49" s="262"/>
      <c r="DL49" s="262"/>
      <c r="DM49" s="262"/>
      <c r="DN49" s="262"/>
      <c r="DO49" s="262"/>
      <c r="DP49" s="262"/>
      <c r="DQ49" s="262"/>
      <c r="DR49" s="262"/>
      <c r="DS49" s="262"/>
      <c r="DT49" s="262"/>
      <c r="DU49" s="262"/>
      <c r="DV49" s="262"/>
      <c r="DW49" s="262"/>
      <c r="DX49" s="262"/>
      <c r="DY49" s="262"/>
      <c r="DZ49" s="262"/>
      <c r="EA49" s="262"/>
      <c r="EB49" s="262"/>
      <c r="EC49" s="262"/>
      <c r="ED49" s="262"/>
      <c r="EE49" s="262"/>
      <c r="EF49" s="262"/>
      <c r="EG49" s="262"/>
      <c r="EH49" s="262"/>
      <c r="EI49" s="262"/>
      <c r="EJ49" s="262"/>
      <c r="EK49" s="262"/>
      <c r="EL49" s="262"/>
      <c r="EM49" s="262"/>
      <c r="EN49" s="262"/>
      <c r="EO49" s="262"/>
      <c r="EP49" s="262"/>
      <c r="EQ49" s="262"/>
      <c r="ER49" s="262"/>
      <c r="ES49" s="262"/>
      <c r="ET49" s="262"/>
      <c r="EU49" s="262"/>
      <c r="EV49" s="262"/>
      <c r="EW49" s="262"/>
      <c r="EX49" s="262"/>
      <c r="EY49" s="262"/>
      <c r="EZ49" s="262"/>
      <c r="FA49" s="262"/>
      <c r="FB49" s="262"/>
      <c r="FC49" s="262"/>
      <c r="FD49" s="262"/>
      <c r="FE49" s="262"/>
      <c r="FF49" s="262"/>
      <c r="FG49" s="262"/>
      <c r="FH49" s="262"/>
      <c r="FI49" s="262"/>
      <c r="FJ49" s="262"/>
      <c r="FK49" s="262"/>
      <c r="FL49" s="262"/>
      <c r="FM49" s="262"/>
      <c r="FN49" s="262"/>
      <c r="FO49" s="262"/>
      <c r="FP49" s="262"/>
      <c r="FQ49" s="262"/>
      <c r="FR49" s="262"/>
      <c r="FS49" s="262"/>
      <c r="FT49" s="262"/>
      <c r="FU49" s="262"/>
      <c r="FV49" s="262"/>
      <c r="FW49" s="262"/>
      <c r="FX49" s="262"/>
      <c r="FY49" s="262"/>
      <c r="FZ49" s="262"/>
      <c r="GA49" s="262"/>
      <c r="GB49" s="262"/>
      <c r="GC49" s="262"/>
      <c r="GD49" s="262"/>
      <c r="GE49" s="262"/>
      <c r="GF49" s="262"/>
      <c r="GG49" s="262"/>
      <c r="GH49" s="262"/>
      <c r="GI49" s="262"/>
      <c r="GJ49" s="262"/>
      <c r="GK49" s="262"/>
      <c r="GL49" s="262"/>
      <c r="GM49" s="262"/>
      <c r="GN49" s="262"/>
      <c r="GO49" s="262"/>
      <c r="GP49" s="262"/>
      <c r="GQ49" s="262"/>
      <c r="GR49" s="262"/>
      <c r="GS49" s="262"/>
      <c r="GT49" s="262"/>
      <c r="GU49" s="262"/>
      <c r="GV49" s="262"/>
      <c r="GW49" s="262"/>
      <c r="GX49" s="262"/>
      <c r="GY49" s="262"/>
      <c r="GZ49" s="262"/>
      <c r="HA49" s="262"/>
      <c r="HB49" s="262"/>
      <c r="HC49" s="262"/>
      <c r="HD49" s="262"/>
      <c r="HE49" s="262"/>
      <c r="HF49" s="262"/>
      <c r="HG49" s="262"/>
      <c r="HH49" s="262"/>
      <c r="HI49" s="262"/>
      <c r="HJ49" s="262"/>
      <c r="HK49" s="262"/>
      <c r="HL49" s="262"/>
      <c r="HM49" s="262"/>
      <c r="HN49" s="262"/>
      <c r="HO49" s="262"/>
      <c r="HP49" s="262"/>
      <c r="HQ49" s="262"/>
      <c r="HR49" s="262"/>
      <c r="HS49" s="262"/>
      <c r="HT49" s="262"/>
      <c r="HU49" s="262"/>
      <c r="HV49" s="262"/>
      <c r="HW49" s="262"/>
      <c r="HX49" s="262"/>
      <c r="HY49" s="262"/>
      <c r="HZ49" s="262"/>
      <c r="IA49" s="262"/>
      <c r="IB49" s="262"/>
      <c r="IC49" s="262"/>
      <c r="ID49" s="262"/>
      <c r="IE49" s="262"/>
      <c r="IF49" s="262"/>
      <c r="IG49" s="262"/>
      <c r="IH49" s="262"/>
      <c r="II49" s="262"/>
      <c r="IJ49" s="262"/>
      <c r="IK49" s="262"/>
      <c r="IL49" s="262"/>
      <c r="IM49" s="262"/>
      <c r="IN49" s="262"/>
      <c r="IO49" s="262"/>
      <c r="IP49" s="262"/>
      <c r="IQ49" s="262"/>
      <c r="IR49" s="262"/>
      <c r="IS49" s="262"/>
      <c r="IT49" s="262"/>
      <c r="IU49" s="262"/>
      <c r="IV49" s="262"/>
      <c r="IW49" s="262"/>
      <c r="IX49" s="262"/>
      <c r="IY49" s="262"/>
      <c r="IZ49" s="262"/>
      <c r="JA49" s="262"/>
      <c r="JB49" s="262"/>
      <c r="JC49" s="262"/>
      <c r="JD49" s="262"/>
      <c r="JE49" s="262"/>
      <c r="JF49" s="262"/>
      <c r="JG49" s="262"/>
      <c r="JH49" s="262"/>
      <c r="JI49" s="262"/>
      <c r="JJ49" s="262"/>
      <c r="JK49" s="262"/>
      <c r="JL49" s="262"/>
      <c r="JM49" s="262"/>
      <c r="JN49" s="262"/>
      <c r="JO49" s="262"/>
      <c r="JP49" s="262"/>
      <c r="JQ49" s="262"/>
      <c r="JR49" s="262"/>
      <c r="JS49" s="262"/>
      <c r="JT49" s="262"/>
      <c r="JU49" s="262"/>
      <c r="JV49" s="262"/>
      <c r="JW49" s="262"/>
      <c r="JX49" s="262"/>
      <c r="JY49" s="262"/>
      <c r="JZ49" s="262"/>
      <c r="KA49" s="262"/>
      <c r="KB49" s="262"/>
      <c r="KC49" s="262"/>
      <c r="KD49" s="262"/>
      <c r="KE49" s="262"/>
      <c r="KF49" s="262"/>
      <c r="KG49" s="262"/>
      <c r="KH49" s="262"/>
      <c r="KI49" s="262"/>
      <c r="KJ49" s="262"/>
      <c r="KK49" s="262"/>
      <c r="KL49" s="262"/>
      <c r="KM49" s="262"/>
      <c r="KN49" s="262"/>
      <c r="KO49" s="262"/>
      <c r="KP49" s="262"/>
      <c r="KQ49" s="262"/>
      <c r="KR49" s="262"/>
      <c r="KS49" s="262"/>
      <c r="KT49" s="262"/>
      <c r="KU49" s="262"/>
      <c r="KV49" s="262"/>
      <c r="KW49" s="262"/>
      <c r="KX49" s="262"/>
      <c r="KY49" s="262"/>
      <c r="KZ49" s="262"/>
    </row>
    <row r="50" spans="1:312" s="85" customFormat="1" ht="50" customHeight="1">
      <c r="A50" s="263" t="s">
        <v>280</v>
      </c>
      <c r="B50" s="264"/>
      <c r="C50" s="86"/>
      <c r="D50" s="86"/>
      <c r="E50" s="60">
        <v>68</v>
      </c>
      <c r="F50" s="86" t="e">
        <f t="shared" si="0"/>
        <v>#DIV/0!</v>
      </c>
      <c r="G50" s="87">
        <v>8</v>
      </c>
      <c r="H50" s="87">
        <v>10</v>
      </c>
      <c r="I50" s="87"/>
      <c r="J50" s="87" t="s">
        <v>248</v>
      </c>
      <c r="K50" s="89" t="s">
        <v>281</v>
      </c>
      <c r="L50" s="94"/>
      <c r="M50" s="94"/>
      <c r="N50" s="91"/>
      <c r="O50" s="91" t="s">
        <v>335</v>
      </c>
      <c r="P50" s="92"/>
      <c r="Q50" s="95"/>
      <c r="R50" s="95" t="s">
        <v>689</v>
      </c>
      <c r="S50" s="60">
        <v>68</v>
      </c>
      <c r="T50" s="263">
        <f t="shared" si="1"/>
        <v>544</v>
      </c>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c r="CY50" s="262"/>
      <c r="CZ50" s="262"/>
      <c r="DA50" s="262"/>
      <c r="DB50" s="262"/>
      <c r="DC50" s="262"/>
      <c r="DD50" s="262"/>
      <c r="DE50" s="262"/>
      <c r="DF50" s="262"/>
      <c r="DG50" s="262"/>
      <c r="DH50" s="262"/>
      <c r="DI50" s="262"/>
      <c r="DJ50" s="262"/>
      <c r="DK50" s="262"/>
      <c r="DL50" s="262"/>
      <c r="DM50" s="262"/>
      <c r="DN50" s="262"/>
      <c r="DO50" s="262"/>
      <c r="DP50" s="262"/>
      <c r="DQ50" s="262"/>
      <c r="DR50" s="262"/>
      <c r="DS50" s="262"/>
      <c r="DT50" s="262"/>
      <c r="DU50" s="262"/>
      <c r="DV50" s="262"/>
      <c r="DW50" s="262"/>
      <c r="DX50" s="262"/>
      <c r="DY50" s="262"/>
      <c r="DZ50" s="262"/>
      <c r="EA50" s="262"/>
      <c r="EB50" s="262"/>
      <c r="EC50" s="262"/>
      <c r="ED50" s="262"/>
      <c r="EE50" s="262"/>
      <c r="EF50" s="262"/>
      <c r="EG50" s="262"/>
      <c r="EH50" s="262"/>
      <c r="EI50" s="262"/>
      <c r="EJ50" s="262"/>
      <c r="EK50" s="262"/>
      <c r="EL50" s="262"/>
      <c r="EM50" s="262"/>
      <c r="EN50" s="262"/>
      <c r="EO50" s="262"/>
      <c r="EP50" s="262"/>
      <c r="EQ50" s="262"/>
      <c r="ER50" s="262"/>
      <c r="ES50" s="262"/>
      <c r="ET50" s="262"/>
      <c r="EU50" s="262"/>
      <c r="EV50" s="262"/>
      <c r="EW50" s="262"/>
      <c r="EX50" s="262"/>
      <c r="EY50" s="262"/>
      <c r="EZ50" s="262"/>
      <c r="FA50" s="262"/>
      <c r="FB50" s="262"/>
      <c r="FC50" s="262"/>
      <c r="FD50" s="262"/>
      <c r="FE50" s="262"/>
      <c r="FF50" s="262"/>
      <c r="FG50" s="262"/>
      <c r="FH50" s="262"/>
      <c r="FI50" s="262"/>
      <c r="FJ50" s="262"/>
      <c r="FK50" s="262"/>
      <c r="FL50" s="262"/>
      <c r="FM50" s="262"/>
      <c r="FN50" s="262"/>
      <c r="FO50" s="262"/>
      <c r="FP50" s="262"/>
      <c r="FQ50" s="262"/>
      <c r="FR50" s="262"/>
      <c r="FS50" s="262"/>
      <c r="FT50" s="262"/>
      <c r="FU50" s="262"/>
      <c r="FV50" s="262"/>
      <c r="FW50" s="262"/>
      <c r="FX50" s="262"/>
      <c r="FY50" s="262"/>
      <c r="FZ50" s="262"/>
      <c r="GA50" s="262"/>
      <c r="GB50" s="262"/>
      <c r="GC50" s="262"/>
      <c r="GD50" s="262"/>
      <c r="GE50" s="262"/>
      <c r="GF50" s="262"/>
      <c r="GG50" s="262"/>
      <c r="GH50" s="262"/>
      <c r="GI50" s="262"/>
      <c r="GJ50" s="262"/>
      <c r="GK50" s="262"/>
      <c r="GL50" s="262"/>
      <c r="GM50" s="262"/>
      <c r="GN50" s="262"/>
      <c r="GO50" s="262"/>
      <c r="GP50" s="262"/>
      <c r="GQ50" s="262"/>
      <c r="GR50" s="262"/>
      <c r="GS50" s="262"/>
      <c r="GT50" s="262"/>
      <c r="GU50" s="262"/>
      <c r="GV50" s="262"/>
      <c r="GW50" s="262"/>
      <c r="GX50" s="262"/>
      <c r="GY50" s="262"/>
      <c r="GZ50" s="262"/>
      <c r="HA50" s="262"/>
      <c r="HB50" s="262"/>
      <c r="HC50" s="262"/>
      <c r="HD50" s="262"/>
      <c r="HE50" s="262"/>
      <c r="HF50" s="262"/>
      <c r="HG50" s="262"/>
      <c r="HH50" s="262"/>
      <c r="HI50" s="262"/>
      <c r="HJ50" s="262"/>
      <c r="HK50" s="262"/>
      <c r="HL50" s="262"/>
      <c r="HM50" s="262"/>
      <c r="HN50" s="262"/>
      <c r="HO50" s="262"/>
      <c r="HP50" s="262"/>
      <c r="HQ50" s="262"/>
      <c r="HR50" s="262"/>
      <c r="HS50" s="262"/>
      <c r="HT50" s="262"/>
      <c r="HU50" s="262"/>
      <c r="HV50" s="262"/>
      <c r="HW50" s="262"/>
      <c r="HX50" s="262"/>
      <c r="HY50" s="262"/>
      <c r="HZ50" s="262"/>
      <c r="IA50" s="262"/>
      <c r="IB50" s="262"/>
      <c r="IC50" s="262"/>
      <c r="ID50" s="262"/>
      <c r="IE50" s="262"/>
      <c r="IF50" s="262"/>
      <c r="IG50" s="262"/>
      <c r="IH50" s="262"/>
      <c r="II50" s="262"/>
      <c r="IJ50" s="262"/>
      <c r="IK50" s="262"/>
      <c r="IL50" s="262"/>
      <c r="IM50" s="262"/>
      <c r="IN50" s="262"/>
      <c r="IO50" s="262"/>
      <c r="IP50" s="262"/>
      <c r="IQ50" s="262"/>
      <c r="IR50" s="262"/>
      <c r="IS50" s="262"/>
      <c r="IT50" s="262"/>
      <c r="IU50" s="262"/>
      <c r="IV50" s="262"/>
      <c r="IW50" s="262"/>
      <c r="IX50" s="262"/>
      <c r="IY50" s="262"/>
      <c r="IZ50" s="262"/>
      <c r="JA50" s="262"/>
      <c r="JB50" s="262"/>
      <c r="JC50" s="262"/>
      <c r="JD50" s="262"/>
      <c r="JE50" s="262"/>
      <c r="JF50" s="262"/>
      <c r="JG50" s="262"/>
      <c r="JH50" s="262"/>
      <c r="JI50" s="262"/>
      <c r="JJ50" s="262"/>
      <c r="JK50" s="262"/>
      <c r="JL50" s="262"/>
      <c r="JM50" s="262"/>
      <c r="JN50" s="262"/>
      <c r="JO50" s="262"/>
      <c r="JP50" s="262"/>
      <c r="JQ50" s="262"/>
      <c r="JR50" s="262"/>
      <c r="JS50" s="262"/>
      <c r="JT50" s="262"/>
      <c r="JU50" s="262"/>
      <c r="JV50" s="262"/>
      <c r="JW50" s="262"/>
      <c r="JX50" s="262"/>
      <c r="JY50" s="262"/>
      <c r="JZ50" s="262"/>
      <c r="KA50" s="262"/>
      <c r="KB50" s="262"/>
      <c r="KC50" s="262"/>
      <c r="KD50" s="262"/>
      <c r="KE50" s="262"/>
      <c r="KF50" s="262"/>
      <c r="KG50" s="262"/>
      <c r="KH50" s="262"/>
      <c r="KI50" s="262"/>
      <c r="KJ50" s="262"/>
      <c r="KK50" s="262"/>
      <c r="KL50" s="262"/>
      <c r="KM50" s="262"/>
      <c r="KN50" s="262"/>
      <c r="KO50" s="262"/>
      <c r="KP50" s="262"/>
      <c r="KQ50" s="262"/>
      <c r="KR50" s="262"/>
      <c r="KS50" s="262"/>
      <c r="KT50" s="262"/>
      <c r="KU50" s="262"/>
      <c r="KV50" s="262"/>
      <c r="KW50" s="262"/>
      <c r="KX50" s="262"/>
      <c r="KY50" s="262"/>
      <c r="KZ50" s="262"/>
    </row>
    <row r="51" spans="1:312" s="85" customFormat="1" ht="50" customHeight="1">
      <c r="A51" s="263" t="s">
        <v>127</v>
      </c>
      <c r="B51" s="264">
        <v>518504</v>
      </c>
      <c r="C51" s="86">
        <v>5618</v>
      </c>
      <c r="D51" s="86">
        <v>878</v>
      </c>
      <c r="E51" s="60">
        <v>280</v>
      </c>
      <c r="F51" s="86">
        <f t="shared" si="0"/>
        <v>6.3986332574031888</v>
      </c>
      <c r="G51" s="87">
        <v>7</v>
      </c>
      <c r="H51" s="87">
        <v>10</v>
      </c>
      <c r="I51" s="87"/>
      <c r="J51" s="87" t="s">
        <v>204</v>
      </c>
      <c r="K51" s="89" t="s">
        <v>331</v>
      </c>
      <c r="L51" s="94"/>
      <c r="M51" s="90" t="s">
        <v>689</v>
      </c>
      <c r="N51" s="91" t="s">
        <v>335</v>
      </c>
      <c r="O51" s="91" t="s">
        <v>335</v>
      </c>
      <c r="P51" s="92"/>
      <c r="Q51" s="95" t="s">
        <v>689</v>
      </c>
      <c r="R51" s="95" t="s">
        <v>689</v>
      </c>
      <c r="S51" s="60">
        <v>280</v>
      </c>
      <c r="T51" s="263">
        <f t="shared" si="1"/>
        <v>1960</v>
      </c>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c r="DM51" s="262"/>
      <c r="DN51" s="262"/>
      <c r="DO51" s="262"/>
      <c r="DP51" s="262"/>
      <c r="DQ51" s="262"/>
      <c r="DR51" s="262"/>
      <c r="DS51" s="262"/>
      <c r="DT51" s="262"/>
      <c r="DU51" s="262"/>
      <c r="DV51" s="262"/>
      <c r="DW51" s="262"/>
      <c r="DX51" s="262"/>
      <c r="DY51" s="262"/>
      <c r="DZ51" s="262"/>
      <c r="EA51" s="262"/>
      <c r="EB51" s="262"/>
      <c r="EC51" s="262"/>
      <c r="ED51" s="262"/>
      <c r="EE51" s="262"/>
      <c r="EF51" s="262"/>
      <c r="EG51" s="262"/>
      <c r="EH51" s="262"/>
      <c r="EI51" s="262"/>
      <c r="EJ51" s="262"/>
      <c r="EK51" s="262"/>
      <c r="EL51" s="262"/>
      <c r="EM51" s="262"/>
      <c r="EN51" s="262"/>
      <c r="EO51" s="262"/>
      <c r="EP51" s="262"/>
      <c r="EQ51" s="262"/>
      <c r="ER51" s="262"/>
      <c r="ES51" s="262"/>
      <c r="ET51" s="262"/>
      <c r="EU51" s="262"/>
      <c r="EV51" s="262"/>
      <c r="EW51" s="262"/>
      <c r="EX51" s="262"/>
      <c r="EY51" s="262"/>
      <c r="EZ51" s="262"/>
      <c r="FA51" s="262"/>
      <c r="FB51" s="262"/>
      <c r="FC51" s="262"/>
      <c r="FD51" s="262"/>
      <c r="FE51" s="262"/>
      <c r="FF51" s="262"/>
      <c r="FG51" s="262"/>
      <c r="FH51" s="262"/>
      <c r="FI51" s="262"/>
      <c r="FJ51" s="262"/>
      <c r="FK51" s="262"/>
      <c r="FL51" s="262"/>
      <c r="FM51" s="262"/>
      <c r="FN51" s="262"/>
      <c r="FO51" s="262"/>
      <c r="FP51" s="262"/>
      <c r="FQ51" s="262"/>
      <c r="FR51" s="262"/>
      <c r="FS51" s="262"/>
      <c r="FT51" s="262"/>
      <c r="FU51" s="262"/>
      <c r="FV51" s="262"/>
      <c r="FW51" s="262"/>
      <c r="FX51" s="262"/>
      <c r="FY51" s="262"/>
      <c r="FZ51" s="262"/>
      <c r="GA51" s="262"/>
      <c r="GB51" s="262"/>
      <c r="GC51" s="262"/>
      <c r="GD51" s="262"/>
      <c r="GE51" s="262"/>
      <c r="GF51" s="262"/>
      <c r="GG51" s="262"/>
      <c r="GH51" s="262"/>
      <c r="GI51" s="262"/>
      <c r="GJ51" s="262"/>
      <c r="GK51" s="262"/>
      <c r="GL51" s="262"/>
      <c r="GM51" s="262"/>
      <c r="GN51" s="262"/>
      <c r="GO51" s="262"/>
      <c r="GP51" s="262"/>
      <c r="GQ51" s="262"/>
      <c r="GR51" s="262"/>
      <c r="GS51" s="262"/>
      <c r="GT51" s="262"/>
      <c r="GU51" s="262"/>
      <c r="GV51" s="262"/>
      <c r="GW51" s="262"/>
      <c r="GX51" s="262"/>
      <c r="GY51" s="262"/>
      <c r="GZ51" s="262"/>
      <c r="HA51" s="262"/>
      <c r="HB51" s="262"/>
      <c r="HC51" s="262"/>
      <c r="HD51" s="262"/>
      <c r="HE51" s="262"/>
      <c r="HF51" s="262"/>
      <c r="HG51" s="262"/>
      <c r="HH51" s="262"/>
      <c r="HI51" s="262"/>
      <c r="HJ51" s="262"/>
      <c r="HK51" s="262"/>
      <c r="HL51" s="262"/>
      <c r="HM51" s="262"/>
      <c r="HN51" s="262"/>
      <c r="HO51" s="262"/>
      <c r="HP51" s="262"/>
      <c r="HQ51" s="262"/>
      <c r="HR51" s="262"/>
      <c r="HS51" s="262"/>
      <c r="HT51" s="262"/>
      <c r="HU51" s="262"/>
      <c r="HV51" s="262"/>
      <c r="HW51" s="262"/>
      <c r="HX51" s="262"/>
      <c r="HY51" s="262"/>
      <c r="HZ51" s="262"/>
      <c r="IA51" s="262"/>
      <c r="IB51" s="262"/>
      <c r="IC51" s="262"/>
      <c r="ID51" s="262"/>
      <c r="IE51" s="262"/>
      <c r="IF51" s="262"/>
      <c r="IG51" s="262"/>
      <c r="IH51" s="262"/>
      <c r="II51" s="262"/>
      <c r="IJ51" s="262"/>
      <c r="IK51" s="262"/>
      <c r="IL51" s="262"/>
      <c r="IM51" s="262"/>
      <c r="IN51" s="262"/>
      <c r="IO51" s="262"/>
      <c r="IP51" s="262"/>
      <c r="IQ51" s="262"/>
      <c r="IR51" s="262"/>
      <c r="IS51" s="262"/>
      <c r="IT51" s="262"/>
      <c r="IU51" s="262"/>
      <c r="IV51" s="262"/>
      <c r="IW51" s="262"/>
      <c r="IX51" s="262"/>
      <c r="IY51" s="262"/>
      <c r="IZ51" s="262"/>
      <c r="JA51" s="262"/>
      <c r="JB51" s="262"/>
      <c r="JC51" s="262"/>
      <c r="JD51" s="262"/>
      <c r="JE51" s="262"/>
      <c r="JF51" s="262"/>
      <c r="JG51" s="262"/>
      <c r="JH51" s="262"/>
      <c r="JI51" s="262"/>
      <c r="JJ51" s="262"/>
      <c r="JK51" s="262"/>
      <c r="JL51" s="262"/>
      <c r="JM51" s="262"/>
      <c r="JN51" s="262"/>
      <c r="JO51" s="262"/>
      <c r="JP51" s="262"/>
      <c r="JQ51" s="262"/>
      <c r="JR51" s="262"/>
      <c r="JS51" s="262"/>
      <c r="JT51" s="262"/>
      <c r="JU51" s="262"/>
      <c r="JV51" s="262"/>
      <c r="JW51" s="262"/>
      <c r="JX51" s="262"/>
      <c r="JY51" s="262"/>
      <c r="JZ51" s="262"/>
      <c r="KA51" s="262"/>
      <c r="KB51" s="262"/>
      <c r="KC51" s="262"/>
      <c r="KD51" s="262"/>
      <c r="KE51" s="262"/>
      <c r="KF51" s="262"/>
      <c r="KG51" s="262"/>
      <c r="KH51" s="262"/>
      <c r="KI51" s="262"/>
      <c r="KJ51" s="262"/>
      <c r="KK51" s="262"/>
      <c r="KL51" s="262"/>
      <c r="KM51" s="262"/>
      <c r="KN51" s="262"/>
      <c r="KO51" s="262"/>
      <c r="KP51" s="262"/>
      <c r="KQ51" s="262"/>
      <c r="KR51" s="262"/>
      <c r="KS51" s="262"/>
      <c r="KT51" s="262"/>
      <c r="KU51" s="262"/>
      <c r="KV51" s="262"/>
      <c r="KW51" s="262"/>
      <c r="KX51" s="262"/>
      <c r="KY51" s="262"/>
      <c r="KZ51" s="262"/>
    </row>
    <row r="52" spans="1:312" s="85" customFormat="1" ht="50" customHeight="1">
      <c r="A52" s="263" t="s">
        <v>139</v>
      </c>
      <c r="B52" s="264">
        <v>518501</v>
      </c>
      <c r="C52" s="86">
        <v>5328</v>
      </c>
      <c r="D52" s="86">
        <v>878</v>
      </c>
      <c r="E52" s="60">
        <v>1599</v>
      </c>
      <c r="F52" s="86">
        <f t="shared" si="0"/>
        <v>6.0683371298405469</v>
      </c>
      <c r="G52" s="87">
        <v>7</v>
      </c>
      <c r="H52" s="87">
        <v>10</v>
      </c>
      <c r="I52" s="87"/>
      <c r="J52" s="87" t="s">
        <v>204</v>
      </c>
      <c r="K52" s="89" t="s">
        <v>362</v>
      </c>
      <c r="L52" s="90" t="s">
        <v>689</v>
      </c>
      <c r="M52" s="94"/>
      <c r="N52" s="91" t="s">
        <v>335</v>
      </c>
      <c r="O52" s="91" t="s">
        <v>335</v>
      </c>
      <c r="P52" s="92"/>
      <c r="Q52" s="95" t="s">
        <v>689</v>
      </c>
      <c r="R52" s="95"/>
      <c r="S52" s="60">
        <v>1599</v>
      </c>
      <c r="T52" s="263">
        <f t="shared" si="1"/>
        <v>11193</v>
      </c>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262"/>
      <c r="DB52" s="262"/>
      <c r="DC52" s="262"/>
      <c r="DD52" s="262"/>
      <c r="DE52" s="262"/>
      <c r="DF52" s="262"/>
      <c r="DG52" s="262"/>
      <c r="DH52" s="262"/>
      <c r="DI52" s="262"/>
      <c r="DJ52" s="262"/>
      <c r="DK52" s="262"/>
      <c r="DL52" s="262"/>
      <c r="DM52" s="262"/>
      <c r="DN52" s="262"/>
      <c r="DO52" s="262"/>
      <c r="DP52" s="262"/>
      <c r="DQ52" s="262"/>
      <c r="DR52" s="262"/>
      <c r="DS52" s="262"/>
      <c r="DT52" s="262"/>
      <c r="DU52" s="262"/>
      <c r="DV52" s="262"/>
      <c r="DW52" s="262"/>
      <c r="DX52" s="262"/>
      <c r="DY52" s="262"/>
      <c r="DZ52" s="262"/>
      <c r="EA52" s="262"/>
      <c r="EB52" s="262"/>
      <c r="EC52" s="262"/>
      <c r="ED52" s="262"/>
      <c r="EE52" s="262"/>
      <c r="EF52" s="262"/>
      <c r="EG52" s="262"/>
      <c r="EH52" s="262"/>
      <c r="EI52" s="262"/>
      <c r="EJ52" s="262"/>
      <c r="EK52" s="262"/>
      <c r="EL52" s="262"/>
      <c r="EM52" s="262"/>
      <c r="EN52" s="262"/>
      <c r="EO52" s="262"/>
      <c r="EP52" s="262"/>
      <c r="EQ52" s="262"/>
      <c r="ER52" s="262"/>
      <c r="ES52" s="262"/>
      <c r="ET52" s="262"/>
      <c r="EU52" s="262"/>
      <c r="EV52" s="262"/>
      <c r="EW52" s="262"/>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c r="HJ52" s="262"/>
      <c r="HK52" s="262"/>
      <c r="HL52" s="262"/>
      <c r="HM52" s="262"/>
      <c r="HN52" s="262"/>
      <c r="HO52" s="262"/>
      <c r="HP52" s="262"/>
      <c r="HQ52" s="262"/>
      <c r="HR52" s="262"/>
      <c r="HS52" s="262"/>
      <c r="HT52" s="262"/>
      <c r="HU52" s="262"/>
      <c r="HV52" s="262"/>
      <c r="HW52" s="262"/>
      <c r="HX52" s="262"/>
      <c r="HY52" s="262"/>
      <c r="HZ52" s="262"/>
      <c r="IA52" s="262"/>
      <c r="IB52" s="262"/>
      <c r="IC52" s="262"/>
      <c r="ID52" s="262"/>
      <c r="IE52" s="262"/>
      <c r="IF52" s="262"/>
      <c r="IG52" s="262"/>
      <c r="IH52" s="262"/>
      <c r="II52" s="262"/>
      <c r="IJ52" s="262"/>
      <c r="IK52" s="262"/>
      <c r="IL52" s="262"/>
      <c r="IM52" s="262"/>
      <c r="IN52" s="262"/>
      <c r="IO52" s="262"/>
      <c r="IP52" s="262"/>
      <c r="IQ52" s="262"/>
      <c r="IR52" s="262"/>
      <c r="IS52" s="262"/>
      <c r="IT52" s="262"/>
      <c r="IU52" s="262"/>
      <c r="IV52" s="262"/>
      <c r="IW52" s="262"/>
      <c r="IX52" s="262"/>
      <c r="IY52" s="262"/>
      <c r="IZ52" s="262"/>
      <c r="JA52" s="262"/>
      <c r="JB52" s="262"/>
      <c r="JC52" s="262"/>
      <c r="JD52" s="262"/>
      <c r="JE52" s="262"/>
      <c r="JF52" s="262"/>
      <c r="JG52" s="262"/>
      <c r="JH52" s="262"/>
      <c r="JI52" s="262"/>
      <c r="JJ52" s="262"/>
      <c r="JK52" s="262"/>
      <c r="JL52" s="262"/>
      <c r="JM52" s="262"/>
      <c r="JN52" s="262"/>
      <c r="JO52" s="262"/>
      <c r="JP52" s="262"/>
      <c r="JQ52" s="262"/>
      <c r="JR52" s="262"/>
      <c r="JS52" s="262"/>
      <c r="JT52" s="262"/>
      <c r="JU52" s="262"/>
      <c r="JV52" s="262"/>
      <c r="JW52" s="262"/>
      <c r="JX52" s="262"/>
      <c r="JY52" s="262"/>
      <c r="JZ52" s="262"/>
      <c r="KA52" s="262"/>
      <c r="KB52" s="262"/>
      <c r="KC52" s="262"/>
      <c r="KD52" s="262"/>
      <c r="KE52" s="262"/>
      <c r="KF52" s="262"/>
      <c r="KG52" s="262"/>
      <c r="KH52" s="262"/>
      <c r="KI52" s="262"/>
      <c r="KJ52" s="262"/>
      <c r="KK52" s="262"/>
      <c r="KL52" s="262"/>
      <c r="KM52" s="262"/>
      <c r="KN52" s="262"/>
      <c r="KO52" s="262"/>
      <c r="KP52" s="262"/>
      <c r="KQ52" s="262"/>
      <c r="KR52" s="262"/>
      <c r="KS52" s="262"/>
      <c r="KT52" s="262"/>
      <c r="KU52" s="262"/>
      <c r="KV52" s="262"/>
      <c r="KW52" s="262"/>
      <c r="KX52" s="262"/>
      <c r="KY52" s="262"/>
      <c r="KZ52" s="262"/>
    </row>
    <row r="53" spans="1:312" s="85" customFormat="1" ht="50" customHeight="1">
      <c r="A53" s="263" t="s">
        <v>86</v>
      </c>
      <c r="B53" s="264"/>
      <c r="C53" s="86"/>
      <c r="D53" s="86"/>
      <c r="E53" s="60">
        <v>280</v>
      </c>
      <c r="F53" s="86" t="e">
        <f t="shared" si="0"/>
        <v>#DIV/0!</v>
      </c>
      <c r="G53" s="87">
        <v>7</v>
      </c>
      <c r="H53" s="87">
        <v>10</v>
      </c>
      <c r="I53" s="87"/>
      <c r="J53" s="87" t="s">
        <v>204</v>
      </c>
      <c r="K53" s="89" t="s">
        <v>701</v>
      </c>
      <c r="L53" s="90" t="s">
        <v>612</v>
      </c>
      <c r="M53" s="90" t="s">
        <v>689</v>
      </c>
      <c r="N53" s="91" t="s">
        <v>335</v>
      </c>
      <c r="O53" s="91" t="s">
        <v>335</v>
      </c>
      <c r="P53" s="92"/>
      <c r="Q53" s="95" t="s">
        <v>689</v>
      </c>
      <c r="R53" s="95"/>
      <c r="S53" s="60">
        <v>280</v>
      </c>
      <c r="T53" s="263">
        <f t="shared" si="1"/>
        <v>1960</v>
      </c>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c r="DA53" s="262"/>
      <c r="DB53" s="262"/>
      <c r="DC53" s="262"/>
      <c r="DD53" s="262"/>
      <c r="DE53" s="262"/>
      <c r="DF53" s="262"/>
      <c r="DG53" s="262"/>
      <c r="DH53" s="262"/>
      <c r="DI53" s="262"/>
      <c r="DJ53" s="262"/>
      <c r="DK53" s="262"/>
      <c r="DL53" s="262"/>
      <c r="DM53" s="262"/>
      <c r="DN53" s="262"/>
      <c r="DO53" s="262"/>
      <c r="DP53" s="262"/>
      <c r="DQ53" s="262"/>
      <c r="DR53" s="262"/>
      <c r="DS53" s="262"/>
      <c r="DT53" s="262"/>
      <c r="DU53" s="262"/>
      <c r="DV53" s="262"/>
      <c r="DW53" s="262"/>
      <c r="DX53" s="262"/>
      <c r="DY53" s="262"/>
      <c r="DZ53" s="262"/>
      <c r="EA53" s="262"/>
      <c r="EB53" s="262"/>
      <c r="EC53" s="262"/>
      <c r="ED53" s="262"/>
      <c r="EE53" s="262"/>
      <c r="EF53" s="262"/>
      <c r="EG53" s="262"/>
      <c r="EH53" s="262"/>
      <c r="EI53" s="262"/>
      <c r="EJ53" s="262"/>
      <c r="EK53" s="262"/>
      <c r="EL53" s="262"/>
      <c r="EM53" s="262"/>
      <c r="EN53" s="262"/>
      <c r="EO53" s="262"/>
      <c r="EP53" s="262"/>
      <c r="EQ53" s="262"/>
      <c r="ER53" s="262"/>
      <c r="ES53" s="262"/>
      <c r="ET53" s="262"/>
      <c r="EU53" s="262"/>
      <c r="EV53" s="262"/>
      <c r="EW53" s="262"/>
      <c r="EX53" s="262"/>
      <c r="EY53" s="262"/>
      <c r="EZ53" s="262"/>
      <c r="FA53" s="262"/>
      <c r="FB53" s="262"/>
      <c r="FC53" s="262"/>
      <c r="FD53" s="262"/>
      <c r="FE53" s="262"/>
      <c r="FF53" s="262"/>
      <c r="FG53" s="262"/>
      <c r="FH53" s="262"/>
      <c r="FI53" s="262"/>
      <c r="FJ53" s="262"/>
      <c r="FK53" s="262"/>
      <c r="FL53" s="262"/>
      <c r="FM53" s="262"/>
      <c r="FN53" s="262"/>
      <c r="FO53" s="262"/>
      <c r="FP53" s="262"/>
      <c r="FQ53" s="262"/>
      <c r="FR53" s="262"/>
      <c r="FS53" s="262"/>
      <c r="FT53" s="262"/>
      <c r="FU53" s="262"/>
      <c r="FV53" s="262"/>
      <c r="FW53" s="262"/>
      <c r="FX53" s="262"/>
      <c r="FY53" s="262"/>
      <c r="FZ53" s="262"/>
      <c r="GA53" s="262"/>
      <c r="GB53" s="262"/>
      <c r="GC53" s="262"/>
      <c r="GD53" s="262"/>
      <c r="GE53" s="262"/>
      <c r="GF53" s="262"/>
      <c r="GG53" s="262"/>
      <c r="GH53" s="262"/>
      <c r="GI53" s="262"/>
      <c r="GJ53" s="262"/>
      <c r="GK53" s="262"/>
      <c r="GL53" s="262"/>
      <c r="GM53" s="262"/>
      <c r="GN53" s="262"/>
      <c r="GO53" s="262"/>
      <c r="GP53" s="262"/>
      <c r="GQ53" s="262"/>
      <c r="GR53" s="262"/>
      <c r="GS53" s="262"/>
      <c r="GT53" s="262"/>
      <c r="GU53" s="262"/>
      <c r="GV53" s="262"/>
      <c r="GW53" s="262"/>
      <c r="GX53" s="262"/>
      <c r="GY53" s="262"/>
      <c r="GZ53" s="262"/>
      <c r="HA53" s="262"/>
      <c r="HB53" s="262"/>
      <c r="HC53" s="262"/>
      <c r="HD53" s="262"/>
      <c r="HE53" s="262"/>
      <c r="HF53" s="262"/>
      <c r="HG53" s="262"/>
      <c r="HH53" s="262"/>
      <c r="HI53" s="262"/>
      <c r="HJ53" s="262"/>
      <c r="HK53" s="262"/>
      <c r="HL53" s="262"/>
      <c r="HM53" s="262"/>
      <c r="HN53" s="262"/>
      <c r="HO53" s="262"/>
      <c r="HP53" s="262"/>
      <c r="HQ53" s="262"/>
      <c r="HR53" s="262"/>
      <c r="HS53" s="262"/>
      <c r="HT53" s="262"/>
      <c r="HU53" s="262"/>
      <c r="HV53" s="262"/>
      <c r="HW53" s="262"/>
      <c r="HX53" s="262"/>
      <c r="HY53" s="262"/>
      <c r="HZ53" s="262"/>
      <c r="IA53" s="262"/>
      <c r="IB53" s="262"/>
      <c r="IC53" s="262"/>
      <c r="ID53" s="262"/>
      <c r="IE53" s="262"/>
      <c r="IF53" s="262"/>
      <c r="IG53" s="262"/>
      <c r="IH53" s="262"/>
      <c r="II53" s="262"/>
      <c r="IJ53" s="262"/>
      <c r="IK53" s="262"/>
      <c r="IL53" s="262"/>
      <c r="IM53" s="262"/>
      <c r="IN53" s="262"/>
      <c r="IO53" s="262"/>
      <c r="IP53" s="262"/>
      <c r="IQ53" s="262"/>
      <c r="IR53" s="262"/>
      <c r="IS53" s="262"/>
      <c r="IT53" s="262"/>
      <c r="IU53" s="262"/>
      <c r="IV53" s="262"/>
      <c r="IW53" s="262"/>
      <c r="IX53" s="262"/>
      <c r="IY53" s="262"/>
      <c r="IZ53" s="262"/>
      <c r="JA53" s="262"/>
      <c r="JB53" s="262"/>
      <c r="JC53" s="262"/>
      <c r="JD53" s="262"/>
      <c r="JE53" s="262"/>
      <c r="JF53" s="262"/>
      <c r="JG53" s="262"/>
      <c r="JH53" s="262"/>
      <c r="JI53" s="262"/>
      <c r="JJ53" s="262"/>
      <c r="JK53" s="262"/>
      <c r="JL53" s="262"/>
      <c r="JM53" s="262"/>
      <c r="JN53" s="262"/>
      <c r="JO53" s="262"/>
      <c r="JP53" s="262"/>
      <c r="JQ53" s="262"/>
      <c r="JR53" s="262"/>
      <c r="JS53" s="262"/>
      <c r="JT53" s="262"/>
      <c r="JU53" s="262"/>
      <c r="JV53" s="262"/>
      <c r="JW53" s="262"/>
      <c r="JX53" s="262"/>
      <c r="JY53" s="262"/>
      <c r="JZ53" s="262"/>
      <c r="KA53" s="262"/>
      <c r="KB53" s="262"/>
      <c r="KC53" s="262"/>
      <c r="KD53" s="262"/>
      <c r="KE53" s="262"/>
      <c r="KF53" s="262"/>
      <c r="KG53" s="262"/>
      <c r="KH53" s="262"/>
      <c r="KI53" s="262"/>
      <c r="KJ53" s="262"/>
      <c r="KK53" s="262"/>
      <c r="KL53" s="262"/>
      <c r="KM53" s="262"/>
      <c r="KN53" s="262"/>
      <c r="KO53" s="262"/>
      <c r="KP53" s="262"/>
      <c r="KQ53" s="262"/>
      <c r="KR53" s="262"/>
      <c r="KS53" s="262"/>
      <c r="KT53" s="262"/>
      <c r="KU53" s="262"/>
      <c r="KV53" s="262"/>
      <c r="KW53" s="262"/>
      <c r="KX53" s="262"/>
      <c r="KY53" s="262"/>
      <c r="KZ53" s="262"/>
    </row>
    <row r="54" spans="1:312" s="85" customFormat="1" ht="50" customHeight="1">
      <c r="A54" s="263" t="s">
        <v>178</v>
      </c>
      <c r="B54" s="264"/>
      <c r="C54" s="86"/>
      <c r="D54" s="86"/>
      <c r="E54" s="60">
        <v>280</v>
      </c>
      <c r="F54" s="86" t="e">
        <f t="shared" si="0"/>
        <v>#DIV/0!</v>
      </c>
      <c r="G54" s="87">
        <v>7</v>
      </c>
      <c r="H54" s="87">
        <v>10</v>
      </c>
      <c r="I54" s="87"/>
      <c r="J54" s="264" t="s">
        <v>204</v>
      </c>
      <c r="K54" s="265" t="s">
        <v>496</v>
      </c>
      <c r="L54" s="98"/>
      <c r="M54" s="90" t="s">
        <v>689</v>
      </c>
      <c r="N54" s="99" t="s">
        <v>335</v>
      </c>
      <c r="O54" s="99" t="s">
        <v>335</v>
      </c>
      <c r="P54" s="266"/>
      <c r="Q54" s="95" t="s">
        <v>689</v>
      </c>
      <c r="R54" s="95" t="s">
        <v>689</v>
      </c>
      <c r="S54" s="60">
        <v>280</v>
      </c>
      <c r="T54" s="263">
        <f t="shared" si="1"/>
        <v>1960</v>
      </c>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c r="DA54" s="262"/>
      <c r="DB54" s="262"/>
      <c r="DC54" s="262"/>
      <c r="DD54" s="262"/>
      <c r="DE54" s="262"/>
      <c r="DF54" s="262"/>
      <c r="DG54" s="262"/>
      <c r="DH54" s="262"/>
      <c r="DI54" s="262"/>
      <c r="DJ54" s="262"/>
      <c r="DK54" s="262"/>
      <c r="DL54" s="262"/>
      <c r="DM54" s="262"/>
      <c r="DN54" s="262"/>
      <c r="DO54" s="262"/>
      <c r="DP54" s="262"/>
      <c r="DQ54" s="262"/>
      <c r="DR54" s="262"/>
      <c r="DS54" s="262"/>
      <c r="DT54" s="262"/>
      <c r="DU54" s="262"/>
      <c r="DV54" s="262"/>
      <c r="DW54" s="262"/>
      <c r="DX54" s="262"/>
      <c r="DY54" s="262"/>
      <c r="DZ54" s="262"/>
      <c r="EA54" s="262"/>
      <c r="EB54" s="262"/>
      <c r="EC54" s="262"/>
      <c r="ED54" s="262"/>
      <c r="EE54" s="262"/>
      <c r="EF54" s="262"/>
      <c r="EG54" s="262"/>
      <c r="EH54" s="262"/>
      <c r="EI54" s="262"/>
      <c r="EJ54" s="262"/>
      <c r="EK54" s="262"/>
      <c r="EL54" s="262"/>
      <c r="EM54" s="262"/>
      <c r="EN54" s="262"/>
      <c r="EO54" s="262"/>
      <c r="EP54" s="262"/>
      <c r="EQ54" s="262"/>
      <c r="ER54" s="262"/>
      <c r="ES54" s="262"/>
      <c r="ET54" s="262"/>
      <c r="EU54" s="262"/>
      <c r="EV54" s="262"/>
      <c r="EW54" s="262"/>
      <c r="EX54" s="262"/>
      <c r="EY54" s="262"/>
      <c r="EZ54" s="262"/>
      <c r="FA54" s="262"/>
      <c r="FB54" s="262"/>
      <c r="FC54" s="262"/>
      <c r="FD54" s="262"/>
      <c r="FE54" s="262"/>
      <c r="FF54" s="262"/>
      <c r="FG54" s="262"/>
      <c r="FH54" s="262"/>
      <c r="FI54" s="262"/>
      <c r="FJ54" s="262"/>
      <c r="FK54" s="262"/>
      <c r="FL54" s="262"/>
      <c r="FM54" s="262"/>
      <c r="FN54" s="262"/>
      <c r="FO54" s="262"/>
      <c r="FP54" s="262"/>
      <c r="FQ54" s="262"/>
      <c r="FR54" s="262"/>
      <c r="FS54" s="262"/>
      <c r="FT54" s="262"/>
      <c r="FU54" s="262"/>
      <c r="FV54" s="262"/>
      <c r="FW54" s="262"/>
      <c r="FX54" s="262"/>
      <c r="FY54" s="262"/>
      <c r="FZ54" s="262"/>
      <c r="GA54" s="262"/>
      <c r="GB54" s="262"/>
      <c r="GC54" s="262"/>
      <c r="GD54" s="262"/>
      <c r="GE54" s="262"/>
      <c r="GF54" s="262"/>
      <c r="GG54" s="262"/>
      <c r="GH54" s="262"/>
      <c r="GI54" s="262"/>
      <c r="GJ54" s="262"/>
      <c r="GK54" s="262"/>
      <c r="GL54" s="262"/>
      <c r="GM54" s="262"/>
      <c r="GN54" s="262"/>
      <c r="GO54" s="262"/>
      <c r="GP54" s="262"/>
      <c r="GQ54" s="262"/>
      <c r="GR54" s="262"/>
      <c r="GS54" s="262"/>
      <c r="GT54" s="262"/>
      <c r="GU54" s="262"/>
      <c r="GV54" s="262"/>
      <c r="GW54" s="262"/>
      <c r="GX54" s="262"/>
      <c r="GY54" s="262"/>
      <c r="GZ54" s="262"/>
      <c r="HA54" s="262"/>
      <c r="HB54" s="262"/>
      <c r="HC54" s="262"/>
      <c r="HD54" s="262"/>
      <c r="HE54" s="262"/>
      <c r="HF54" s="262"/>
      <c r="HG54" s="262"/>
      <c r="HH54" s="262"/>
      <c r="HI54" s="262"/>
      <c r="HJ54" s="262"/>
      <c r="HK54" s="262"/>
      <c r="HL54" s="262"/>
      <c r="HM54" s="262"/>
      <c r="HN54" s="262"/>
      <c r="HO54" s="262"/>
      <c r="HP54" s="262"/>
      <c r="HQ54" s="262"/>
      <c r="HR54" s="262"/>
      <c r="HS54" s="262"/>
      <c r="HT54" s="262"/>
      <c r="HU54" s="262"/>
      <c r="HV54" s="262"/>
      <c r="HW54" s="262"/>
      <c r="HX54" s="262"/>
      <c r="HY54" s="262"/>
      <c r="HZ54" s="262"/>
      <c r="IA54" s="262"/>
      <c r="IB54" s="262"/>
      <c r="IC54" s="262"/>
      <c r="ID54" s="262"/>
      <c r="IE54" s="262"/>
      <c r="IF54" s="262"/>
      <c r="IG54" s="262"/>
      <c r="IH54" s="262"/>
      <c r="II54" s="262"/>
      <c r="IJ54" s="262"/>
      <c r="IK54" s="262"/>
      <c r="IL54" s="262"/>
      <c r="IM54" s="262"/>
      <c r="IN54" s="262"/>
      <c r="IO54" s="262"/>
      <c r="IP54" s="262"/>
      <c r="IQ54" s="262"/>
      <c r="IR54" s="262"/>
      <c r="IS54" s="262"/>
      <c r="IT54" s="262"/>
      <c r="IU54" s="262"/>
      <c r="IV54" s="262"/>
      <c r="IW54" s="262"/>
      <c r="IX54" s="262"/>
      <c r="IY54" s="262"/>
      <c r="IZ54" s="262"/>
      <c r="JA54" s="262"/>
      <c r="JB54" s="262"/>
      <c r="JC54" s="262"/>
      <c r="JD54" s="262"/>
      <c r="JE54" s="262"/>
      <c r="JF54" s="262"/>
      <c r="JG54" s="262"/>
      <c r="JH54" s="262"/>
      <c r="JI54" s="262"/>
      <c r="JJ54" s="262"/>
      <c r="JK54" s="262"/>
      <c r="JL54" s="262"/>
      <c r="JM54" s="262"/>
      <c r="JN54" s="262"/>
      <c r="JO54" s="262"/>
      <c r="JP54" s="262"/>
      <c r="JQ54" s="262"/>
      <c r="JR54" s="262"/>
      <c r="JS54" s="262"/>
      <c r="JT54" s="262"/>
      <c r="JU54" s="262"/>
      <c r="JV54" s="262"/>
      <c r="JW54" s="262"/>
      <c r="JX54" s="262"/>
      <c r="JY54" s="262"/>
      <c r="JZ54" s="262"/>
      <c r="KA54" s="262"/>
      <c r="KB54" s="262"/>
      <c r="KC54" s="262"/>
      <c r="KD54" s="262"/>
      <c r="KE54" s="262"/>
      <c r="KF54" s="262"/>
      <c r="KG54" s="262"/>
      <c r="KH54" s="262"/>
      <c r="KI54" s="262"/>
      <c r="KJ54" s="262"/>
      <c r="KK54" s="262"/>
      <c r="KL54" s="262"/>
      <c r="KM54" s="262"/>
      <c r="KN54" s="262"/>
      <c r="KO54" s="262"/>
      <c r="KP54" s="262"/>
      <c r="KQ54" s="262"/>
      <c r="KR54" s="262"/>
      <c r="KS54" s="262"/>
      <c r="KT54" s="262"/>
      <c r="KU54" s="262"/>
      <c r="KV54" s="262"/>
      <c r="KW54" s="262"/>
      <c r="KX54" s="262"/>
      <c r="KY54" s="262"/>
      <c r="KZ54" s="262"/>
    </row>
    <row r="55" spans="1:312" s="85" customFormat="1" ht="50" customHeight="1">
      <c r="A55" s="263" t="s">
        <v>232</v>
      </c>
      <c r="B55" s="264"/>
      <c r="C55" s="86"/>
      <c r="D55" s="86"/>
      <c r="E55" s="60">
        <v>68</v>
      </c>
      <c r="F55" s="86" t="e">
        <f t="shared" si="0"/>
        <v>#DIV/0!</v>
      </c>
      <c r="G55" s="87">
        <v>7</v>
      </c>
      <c r="H55" s="87">
        <v>10</v>
      </c>
      <c r="I55" s="87"/>
      <c r="J55" s="87" t="s">
        <v>217</v>
      </c>
      <c r="K55" s="89" t="s">
        <v>233</v>
      </c>
      <c r="L55" s="94"/>
      <c r="M55" s="94"/>
      <c r="N55" s="91"/>
      <c r="O55" s="91" t="s">
        <v>335</v>
      </c>
      <c r="P55" s="92"/>
      <c r="Q55" s="93" t="s">
        <v>689</v>
      </c>
      <c r="R55" s="95"/>
      <c r="S55" s="60">
        <v>68</v>
      </c>
      <c r="T55" s="263">
        <f t="shared" si="1"/>
        <v>476</v>
      </c>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2"/>
      <c r="CV55" s="262"/>
      <c r="CW55" s="262"/>
      <c r="CX55" s="262"/>
      <c r="CY55" s="262"/>
      <c r="CZ55" s="262"/>
      <c r="DA55" s="262"/>
      <c r="DB55" s="262"/>
      <c r="DC55" s="262"/>
      <c r="DD55" s="262"/>
      <c r="DE55" s="262"/>
      <c r="DF55" s="262"/>
      <c r="DG55" s="262"/>
      <c r="DH55" s="262"/>
      <c r="DI55" s="262"/>
      <c r="DJ55" s="262"/>
      <c r="DK55" s="262"/>
      <c r="DL55" s="262"/>
      <c r="DM55" s="262"/>
      <c r="DN55" s="262"/>
      <c r="DO55" s="262"/>
      <c r="DP55" s="262"/>
      <c r="DQ55" s="262"/>
      <c r="DR55" s="262"/>
      <c r="DS55" s="262"/>
      <c r="DT55" s="262"/>
      <c r="DU55" s="262"/>
      <c r="DV55" s="262"/>
      <c r="DW55" s="262"/>
      <c r="DX55" s="262"/>
      <c r="DY55" s="262"/>
      <c r="DZ55" s="262"/>
      <c r="EA55" s="262"/>
      <c r="EB55" s="262"/>
      <c r="EC55" s="262"/>
      <c r="ED55" s="262"/>
      <c r="EE55" s="262"/>
      <c r="EF55" s="262"/>
      <c r="EG55" s="262"/>
      <c r="EH55" s="262"/>
      <c r="EI55" s="262"/>
      <c r="EJ55" s="262"/>
      <c r="EK55" s="262"/>
      <c r="EL55" s="262"/>
      <c r="EM55" s="262"/>
      <c r="EN55" s="262"/>
      <c r="EO55" s="262"/>
      <c r="EP55" s="262"/>
      <c r="EQ55" s="262"/>
      <c r="ER55" s="262"/>
      <c r="ES55" s="262"/>
      <c r="ET55" s="262"/>
      <c r="EU55" s="262"/>
      <c r="EV55" s="262"/>
      <c r="EW55" s="262"/>
      <c r="EX55" s="262"/>
      <c r="EY55" s="262"/>
      <c r="EZ55" s="262"/>
      <c r="FA55" s="262"/>
      <c r="FB55" s="262"/>
      <c r="FC55" s="262"/>
      <c r="FD55" s="262"/>
      <c r="FE55" s="262"/>
      <c r="FF55" s="262"/>
      <c r="FG55" s="262"/>
      <c r="FH55" s="262"/>
      <c r="FI55" s="262"/>
      <c r="FJ55" s="262"/>
      <c r="FK55" s="262"/>
      <c r="FL55" s="262"/>
      <c r="FM55" s="262"/>
      <c r="FN55" s="262"/>
      <c r="FO55" s="262"/>
      <c r="FP55" s="262"/>
      <c r="FQ55" s="262"/>
      <c r="FR55" s="262"/>
      <c r="FS55" s="262"/>
      <c r="FT55" s="262"/>
      <c r="FU55" s="262"/>
      <c r="FV55" s="262"/>
      <c r="FW55" s="262"/>
      <c r="FX55" s="262"/>
      <c r="FY55" s="262"/>
      <c r="FZ55" s="262"/>
      <c r="GA55" s="262"/>
      <c r="GB55" s="262"/>
      <c r="GC55" s="262"/>
      <c r="GD55" s="262"/>
      <c r="GE55" s="262"/>
      <c r="GF55" s="262"/>
      <c r="GG55" s="262"/>
      <c r="GH55" s="262"/>
      <c r="GI55" s="262"/>
      <c r="GJ55" s="262"/>
      <c r="GK55" s="262"/>
      <c r="GL55" s="262"/>
      <c r="GM55" s="262"/>
      <c r="GN55" s="262"/>
      <c r="GO55" s="262"/>
      <c r="GP55" s="262"/>
      <c r="GQ55" s="262"/>
      <c r="GR55" s="262"/>
      <c r="GS55" s="262"/>
      <c r="GT55" s="262"/>
      <c r="GU55" s="262"/>
      <c r="GV55" s="262"/>
      <c r="GW55" s="262"/>
      <c r="GX55" s="262"/>
      <c r="GY55" s="262"/>
      <c r="GZ55" s="262"/>
      <c r="HA55" s="262"/>
      <c r="HB55" s="262"/>
      <c r="HC55" s="262"/>
      <c r="HD55" s="262"/>
      <c r="HE55" s="262"/>
      <c r="HF55" s="262"/>
      <c r="HG55" s="262"/>
      <c r="HH55" s="262"/>
      <c r="HI55" s="262"/>
      <c r="HJ55" s="262"/>
      <c r="HK55" s="262"/>
      <c r="HL55" s="262"/>
      <c r="HM55" s="262"/>
      <c r="HN55" s="262"/>
      <c r="HO55" s="262"/>
      <c r="HP55" s="262"/>
      <c r="HQ55" s="262"/>
      <c r="HR55" s="262"/>
      <c r="HS55" s="262"/>
      <c r="HT55" s="262"/>
      <c r="HU55" s="262"/>
      <c r="HV55" s="262"/>
      <c r="HW55" s="262"/>
      <c r="HX55" s="262"/>
      <c r="HY55" s="262"/>
      <c r="HZ55" s="262"/>
      <c r="IA55" s="262"/>
      <c r="IB55" s="262"/>
      <c r="IC55" s="262"/>
      <c r="ID55" s="262"/>
      <c r="IE55" s="262"/>
      <c r="IF55" s="262"/>
      <c r="IG55" s="262"/>
      <c r="IH55" s="262"/>
      <c r="II55" s="262"/>
      <c r="IJ55" s="262"/>
      <c r="IK55" s="262"/>
      <c r="IL55" s="262"/>
      <c r="IM55" s="262"/>
      <c r="IN55" s="262"/>
      <c r="IO55" s="262"/>
      <c r="IP55" s="262"/>
      <c r="IQ55" s="262"/>
      <c r="IR55" s="262"/>
      <c r="IS55" s="262"/>
      <c r="IT55" s="262"/>
      <c r="IU55" s="262"/>
      <c r="IV55" s="262"/>
      <c r="IW55" s="262"/>
      <c r="IX55" s="262"/>
      <c r="IY55" s="262"/>
      <c r="IZ55" s="262"/>
      <c r="JA55" s="262"/>
      <c r="JB55" s="262"/>
      <c r="JC55" s="262"/>
      <c r="JD55" s="262"/>
      <c r="JE55" s="262"/>
      <c r="JF55" s="262"/>
      <c r="JG55" s="262"/>
      <c r="JH55" s="262"/>
      <c r="JI55" s="262"/>
      <c r="JJ55" s="262"/>
      <c r="JK55" s="262"/>
      <c r="JL55" s="262"/>
      <c r="JM55" s="262"/>
      <c r="JN55" s="262"/>
      <c r="JO55" s="262"/>
      <c r="JP55" s="262"/>
      <c r="JQ55" s="262"/>
      <c r="JR55" s="262"/>
      <c r="JS55" s="262"/>
      <c r="JT55" s="262"/>
      <c r="JU55" s="262"/>
      <c r="JV55" s="262"/>
      <c r="JW55" s="262"/>
      <c r="JX55" s="262"/>
      <c r="JY55" s="262"/>
      <c r="JZ55" s="262"/>
      <c r="KA55" s="262"/>
      <c r="KB55" s="262"/>
      <c r="KC55" s="262"/>
      <c r="KD55" s="262"/>
      <c r="KE55" s="262"/>
      <c r="KF55" s="262"/>
      <c r="KG55" s="262"/>
      <c r="KH55" s="262"/>
      <c r="KI55" s="262"/>
      <c r="KJ55" s="262"/>
      <c r="KK55" s="262"/>
      <c r="KL55" s="262"/>
      <c r="KM55" s="262"/>
      <c r="KN55" s="262"/>
      <c r="KO55" s="262"/>
      <c r="KP55" s="262"/>
      <c r="KQ55" s="262"/>
      <c r="KR55" s="262"/>
      <c r="KS55" s="262"/>
      <c r="KT55" s="262"/>
      <c r="KU55" s="262"/>
      <c r="KV55" s="262"/>
      <c r="KW55" s="262"/>
      <c r="KX55" s="262"/>
      <c r="KY55" s="262"/>
      <c r="KZ55" s="262"/>
    </row>
    <row r="56" spans="1:312" s="85" customFormat="1" ht="50" customHeight="1">
      <c r="A56" s="263" t="s">
        <v>94</v>
      </c>
      <c r="B56" s="264">
        <v>518502</v>
      </c>
      <c r="C56" s="86">
        <v>5988</v>
      </c>
      <c r="D56" s="86">
        <v>877</v>
      </c>
      <c r="E56" s="60">
        <v>1715</v>
      </c>
      <c r="F56" s="86">
        <f t="shared" si="0"/>
        <v>6.8278221208665908</v>
      </c>
      <c r="G56" s="87">
        <v>7</v>
      </c>
      <c r="H56" s="87">
        <v>10</v>
      </c>
      <c r="I56" s="87"/>
      <c r="J56" s="87" t="s">
        <v>248</v>
      </c>
      <c r="K56" s="89" t="s">
        <v>253</v>
      </c>
      <c r="L56" s="90" t="s">
        <v>689</v>
      </c>
      <c r="M56" s="90" t="s">
        <v>689</v>
      </c>
      <c r="N56" s="91" t="s">
        <v>335</v>
      </c>
      <c r="O56" s="91" t="s">
        <v>335</v>
      </c>
      <c r="P56" s="92"/>
      <c r="Q56" s="95" t="s">
        <v>689</v>
      </c>
      <c r="R56" s="95" t="s">
        <v>689</v>
      </c>
      <c r="S56" s="60">
        <v>1715</v>
      </c>
      <c r="T56" s="263">
        <f t="shared" si="1"/>
        <v>12005</v>
      </c>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2"/>
      <c r="CV56" s="262"/>
      <c r="CW56" s="262"/>
      <c r="CX56" s="262"/>
      <c r="CY56" s="262"/>
      <c r="CZ56" s="262"/>
      <c r="DA56" s="262"/>
      <c r="DB56" s="262"/>
      <c r="DC56" s="262"/>
      <c r="DD56" s="262"/>
      <c r="DE56" s="262"/>
      <c r="DF56" s="262"/>
      <c r="DG56" s="262"/>
      <c r="DH56" s="262"/>
      <c r="DI56" s="262"/>
      <c r="DJ56" s="262"/>
      <c r="DK56" s="262"/>
      <c r="DL56" s="262"/>
      <c r="DM56" s="262"/>
      <c r="DN56" s="262"/>
      <c r="DO56" s="262"/>
      <c r="DP56" s="262"/>
      <c r="DQ56" s="262"/>
      <c r="DR56" s="262"/>
      <c r="DS56" s="262"/>
      <c r="DT56" s="262"/>
      <c r="DU56" s="262"/>
      <c r="DV56" s="262"/>
      <c r="DW56" s="262"/>
      <c r="DX56" s="262"/>
      <c r="DY56" s="262"/>
      <c r="DZ56" s="262"/>
      <c r="EA56" s="262"/>
      <c r="EB56" s="262"/>
      <c r="EC56" s="262"/>
      <c r="ED56" s="262"/>
      <c r="EE56" s="262"/>
      <c r="EF56" s="262"/>
      <c r="EG56" s="262"/>
      <c r="EH56" s="262"/>
      <c r="EI56" s="262"/>
      <c r="EJ56" s="262"/>
      <c r="EK56" s="262"/>
      <c r="EL56" s="262"/>
      <c r="EM56" s="262"/>
      <c r="EN56" s="262"/>
      <c r="EO56" s="262"/>
      <c r="EP56" s="262"/>
      <c r="EQ56" s="262"/>
      <c r="ER56" s="262"/>
      <c r="ES56" s="262"/>
      <c r="ET56" s="262"/>
      <c r="EU56" s="262"/>
      <c r="EV56" s="262"/>
      <c r="EW56" s="262"/>
      <c r="EX56" s="262"/>
      <c r="EY56" s="262"/>
      <c r="EZ56" s="262"/>
      <c r="FA56" s="262"/>
      <c r="FB56" s="262"/>
      <c r="FC56" s="262"/>
      <c r="FD56" s="262"/>
      <c r="FE56" s="262"/>
      <c r="FF56" s="262"/>
      <c r="FG56" s="262"/>
      <c r="FH56" s="262"/>
      <c r="FI56" s="262"/>
      <c r="FJ56" s="262"/>
      <c r="FK56" s="262"/>
      <c r="FL56" s="262"/>
      <c r="FM56" s="262"/>
      <c r="FN56" s="262"/>
      <c r="FO56" s="262"/>
      <c r="FP56" s="262"/>
      <c r="FQ56" s="262"/>
      <c r="FR56" s="262"/>
      <c r="FS56" s="262"/>
      <c r="FT56" s="262"/>
      <c r="FU56" s="262"/>
      <c r="FV56" s="262"/>
      <c r="FW56" s="262"/>
      <c r="FX56" s="262"/>
      <c r="FY56" s="262"/>
      <c r="FZ56" s="262"/>
      <c r="GA56" s="262"/>
      <c r="GB56" s="262"/>
      <c r="GC56" s="262"/>
      <c r="GD56" s="262"/>
      <c r="GE56" s="262"/>
      <c r="GF56" s="262"/>
      <c r="GG56" s="262"/>
      <c r="GH56" s="262"/>
      <c r="GI56" s="262"/>
      <c r="GJ56" s="262"/>
      <c r="GK56" s="262"/>
      <c r="GL56" s="262"/>
      <c r="GM56" s="262"/>
      <c r="GN56" s="262"/>
      <c r="GO56" s="262"/>
      <c r="GP56" s="262"/>
      <c r="GQ56" s="262"/>
      <c r="GR56" s="262"/>
      <c r="GS56" s="262"/>
      <c r="GT56" s="262"/>
      <c r="GU56" s="262"/>
      <c r="GV56" s="262"/>
      <c r="GW56" s="262"/>
      <c r="GX56" s="262"/>
      <c r="GY56" s="262"/>
      <c r="GZ56" s="262"/>
      <c r="HA56" s="262"/>
      <c r="HB56" s="262"/>
      <c r="HC56" s="262"/>
      <c r="HD56" s="262"/>
      <c r="HE56" s="262"/>
      <c r="HF56" s="262"/>
      <c r="HG56" s="262"/>
      <c r="HH56" s="262"/>
      <c r="HI56" s="262"/>
      <c r="HJ56" s="262"/>
      <c r="HK56" s="262"/>
      <c r="HL56" s="262"/>
      <c r="HM56" s="262"/>
      <c r="HN56" s="262"/>
      <c r="HO56" s="262"/>
      <c r="HP56" s="262"/>
      <c r="HQ56" s="262"/>
      <c r="HR56" s="262"/>
      <c r="HS56" s="262"/>
      <c r="HT56" s="262"/>
      <c r="HU56" s="262"/>
      <c r="HV56" s="262"/>
      <c r="HW56" s="262"/>
      <c r="HX56" s="262"/>
      <c r="HY56" s="262"/>
      <c r="HZ56" s="262"/>
      <c r="IA56" s="262"/>
      <c r="IB56" s="262"/>
      <c r="IC56" s="262"/>
      <c r="ID56" s="262"/>
      <c r="IE56" s="262"/>
      <c r="IF56" s="262"/>
      <c r="IG56" s="262"/>
      <c r="IH56" s="262"/>
      <c r="II56" s="262"/>
      <c r="IJ56" s="262"/>
      <c r="IK56" s="262"/>
      <c r="IL56" s="262"/>
      <c r="IM56" s="262"/>
      <c r="IN56" s="262"/>
      <c r="IO56" s="262"/>
      <c r="IP56" s="262"/>
      <c r="IQ56" s="262"/>
      <c r="IR56" s="262"/>
      <c r="IS56" s="262"/>
      <c r="IT56" s="262"/>
      <c r="IU56" s="262"/>
      <c r="IV56" s="262"/>
      <c r="IW56" s="262"/>
      <c r="IX56" s="262"/>
      <c r="IY56" s="262"/>
      <c r="IZ56" s="262"/>
      <c r="JA56" s="262"/>
      <c r="JB56" s="262"/>
      <c r="JC56" s="262"/>
      <c r="JD56" s="262"/>
      <c r="JE56" s="262"/>
      <c r="JF56" s="262"/>
      <c r="JG56" s="262"/>
      <c r="JH56" s="262"/>
      <c r="JI56" s="262"/>
      <c r="JJ56" s="262"/>
      <c r="JK56" s="262"/>
      <c r="JL56" s="262"/>
      <c r="JM56" s="262"/>
      <c r="JN56" s="262"/>
      <c r="JO56" s="262"/>
      <c r="JP56" s="262"/>
      <c r="JQ56" s="262"/>
      <c r="JR56" s="262"/>
      <c r="JS56" s="262"/>
      <c r="JT56" s="262"/>
      <c r="JU56" s="262"/>
      <c r="JV56" s="262"/>
      <c r="JW56" s="262"/>
      <c r="JX56" s="262"/>
      <c r="JY56" s="262"/>
      <c r="JZ56" s="262"/>
      <c r="KA56" s="262"/>
      <c r="KB56" s="262"/>
      <c r="KC56" s="262"/>
      <c r="KD56" s="262"/>
      <c r="KE56" s="262"/>
      <c r="KF56" s="262"/>
      <c r="KG56" s="262"/>
      <c r="KH56" s="262"/>
      <c r="KI56" s="262"/>
      <c r="KJ56" s="262"/>
      <c r="KK56" s="262"/>
      <c r="KL56" s="262"/>
      <c r="KM56" s="262"/>
      <c r="KN56" s="262"/>
      <c r="KO56" s="262"/>
      <c r="KP56" s="262"/>
      <c r="KQ56" s="262"/>
      <c r="KR56" s="262"/>
      <c r="KS56" s="262"/>
      <c r="KT56" s="262"/>
      <c r="KU56" s="262"/>
      <c r="KV56" s="262"/>
      <c r="KW56" s="262"/>
      <c r="KX56" s="262"/>
      <c r="KY56" s="262"/>
      <c r="KZ56" s="262"/>
    </row>
    <row r="57" spans="1:312" s="85" customFormat="1" ht="50" customHeight="1">
      <c r="A57" s="263" t="s">
        <v>74</v>
      </c>
      <c r="B57" s="264"/>
      <c r="C57" s="86"/>
      <c r="D57" s="86"/>
      <c r="E57" s="60">
        <v>1715</v>
      </c>
      <c r="F57" s="86" t="e">
        <f t="shared" si="0"/>
        <v>#DIV/0!</v>
      </c>
      <c r="G57" s="87">
        <v>6</v>
      </c>
      <c r="H57" s="87">
        <v>8</v>
      </c>
      <c r="I57" s="87"/>
      <c r="J57" s="87" t="s">
        <v>204</v>
      </c>
      <c r="K57" s="89" t="s">
        <v>702</v>
      </c>
      <c r="L57" s="90" t="s">
        <v>335</v>
      </c>
      <c r="M57" s="90" t="s">
        <v>689</v>
      </c>
      <c r="N57" s="91" t="s">
        <v>335</v>
      </c>
      <c r="O57" s="91" t="s">
        <v>335</v>
      </c>
      <c r="P57" s="92"/>
      <c r="Q57" s="95" t="s">
        <v>689</v>
      </c>
      <c r="R57" s="95" t="s">
        <v>689</v>
      </c>
      <c r="S57" s="60">
        <v>1715</v>
      </c>
      <c r="T57" s="263">
        <f t="shared" si="1"/>
        <v>10290</v>
      </c>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2"/>
      <c r="CV57" s="262"/>
      <c r="CW57" s="262"/>
      <c r="CX57" s="262"/>
      <c r="CY57" s="262"/>
      <c r="CZ57" s="262"/>
      <c r="DA57" s="262"/>
      <c r="DB57" s="262"/>
      <c r="DC57" s="262"/>
      <c r="DD57" s="262"/>
      <c r="DE57" s="262"/>
      <c r="DF57" s="262"/>
      <c r="DG57" s="262"/>
      <c r="DH57" s="262"/>
      <c r="DI57" s="262"/>
      <c r="DJ57" s="262"/>
      <c r="DK57" s="262"/>
      <c r="DL57" s="262"/>
      <c r="DM57" s="262"/>
      <c r="DN57" s="262"/>
      <c r="DO57" s="262"/>
      <c r="DP57" s="262"/>
      <c r="DQ57" s="262"/>
      <c r="DR57" s="262"/>
      <c r="DS57" s="262"/>
      <c r="DT57" s="262"/>
      <c r="DU57" s="262"/>
      <c r="DV57" s="262"/>
      <c r="DW57" s="262"/>
      <c r="DX57" s="262"/>
      <c r="DY57" s="262"/>
      <c r="DZ57" s="262"/>
      <c r="EA57" s="262"/>
      <c r="EB57" s="262"/>
      <c r="EC57" s="262"/>
      <c r="ED57" s="262"/>
      <c r="EE57" s="262"/>
      <c r="EF57" s="262"/>
      <c r="EG57" s="262"/>
      <c r="EH57" s="262"/>
      <c r="EI57" s="262"/>
      <c r="EJ57" s="262"/>
      <c r="EK57" s="262"/>
      <c r="EL57" s="262"/>
      <c r="EM57" s="262"/>
      <c r="EN57" s="262"/>
      <c r="EO57" s="262"/>
      <c r="EP57" s="262"/>
      <c r="EQ57" s="262"/>
      <c r="ER57" s="262"/>
      <c r="ES57" s="262"/>
      <c r="ET57" s="262"/>
      <c r="EU57" s="262"/>
      <c r="EV57" s="262"/>
      <c r="EW57" s="262"/>
      <c r="EX57" s="262"/>
      <c r="EY57" s="262"/>
      <c r="EZ57" s="262"/>
      <c r="FA57" s="262"/>
      <c r="FB57" s="262"/>
      <c r="FC57" s="262"/>
      <c r="FD57" s="262"/>
      <c r="FE57" s="262"/>
      <c r="FF57" s="262"/>
      <c r="FG57" s="262"/>
      <c r="FH57" s="262"/>
      <c r="FI57" s="262"/>
      <c r="FJ57" s="262"/>
      <c r="FK57" s="262"/>
      <c r="FL57" s="262"/>
      <c r="FM57" s="262"/>
      <c r="FN57" s="262"/>
      <c r="FO57" s="262"/>
      <c r="FP57" s="262"/>
      <c r="FQ57" s="262"/>
      <c r="FR57" s="262"/>
      <c r="FS57" s="262"/>
      <c r="FT57" s="262"/>
      <c r="FU57" s="262"/>
      <c r="FV57" s="262"/>
      <c r="FW57" s="262"/>
      <c r="FX57" s="262"/>
      <c r="FY57" s="262"/>
      <c r="FZ57" s="262"/>
      <c r="GA57" s="262"/>
      <c r="GB57" s="262"/>
      <c r="GC57" s="262"/>
      <c r="GD57" s="262"/>
      <c r="GE57" s="262"/>
      <c r="GF57" s="262"/>
      <c r="GG57" s="262"/>
      <c r="GH57" s="262"/>
      <c r="GI57" s="262"/>
      <c r="GJ57" s="262"/>
      <c r="GK57" s="262"/>
      <c r="GL57" s="262"/>
      <c r="GM57" s="262"/>
      <c r="GN57" s="262"/>
      <c r="GO57" s="262"/>
      <c r="GP57" s="262"/>
      <c r="GQ57" s="262"/>
      <c r="GR57" s="262"/>
      <c r="GS57" s="262"/>
      <c r="GT57" s="262"/>
      <c r="GU57" s="262"/>
      <c r="GV57" s="262"/>
      <c r="GW57" s="262"/>
      <c r="GX57" s="262"/>
      <c r="GY57" s="262"/>
      <c r="GZ57" s="262"/>
      <c r="HA57" s="262"/>
      <c r="HB57" s="262"/>
      <c r="HC57" s="262"/>
      <c r="HD57" s="262"/>
      <c r="HE57" s="262"/>
      <c r="HF57" s="262"/>
      <c r="HG57" s="262"/>
      <c r="HH57" s="262"/>
      <c r="HI57" s="262"/>
      <c r="HJ57" s="262"/>
      <c r="HK57" s="262"/>
      <c r="HL57" s="262"/>
      <c r="HM57" s="262"/>
      <c r="HN57" s="262"/>
      <c r="HO57" s="262"/>
      <c r="HP57" s="262"/>
      <c r="HQ57" s="262"/>
      <c r="HR57" s="262"/>
      <c r="HS57" s="262"/>
      <c r="HT57" s="262"/>
      <c r="HU57" s="262"/>
      <c r="HV57" s="262"/>
      <c r="HW57" s="262"/>
      <c r="HX57" s="262"/>
      <c r="HY57" s="262"/>
      <c r="HZ57" s="262"/>
      <c r="IA57" s="262"/>
      <c r="IB57" s="262"/>
      <c r="IC57" s="262"/>
      <c r="ID57" s="262"/>
      <c r="IE57" s="262"/>
      <c r="IF57" s="262"/>
      <c r="IG57" s="262"/>
      <c r="IH57" s="262"/>
      <c r="II57" s="262"/>
      <c r="IJ57" s="262"/>
      <c r="IK57" s="262"/>
      <c r="IL57" s="262"/>
      <c r="IM57" s="262"/>
      <c r="IN57" s="262"/>
      <c r="IO57" s="262"/>
      <c r="IP57" s="262"/>
      <c r="IQ57" s="262"/>
      <c r="IR57" s="262"/>
      <c r="IS57" s="262"/>
      <c r="IT57" s="262"/>
      <c r="IU57" s="262"/>
      <c r="IV57" s="262"/>
      <c r="IW57" s="262"/>
      <c r="IX57" s="262"/>
      <c r="IY57" s="262"/>
      <c r="IZ57" s="262"/>
      <c r="JA57" s="262"/>
      <c r="JB57" s="262"/>
      <c r="JC57" s="262"/>
      <c r="JD57" s="262"/>
      <c r="JE57" s="262"/>
      <c r="JF57" s="262"/>
      <c r="JG57" s="262"/>
      <c r="JH57" s="262"/>
      <c r="JI57" s="262"/>
      <c r="JJ57" s="262"/>
      <c r="JK57" s="262"/>
      <c r="JL57" s="262"/>
      <c r="JM57" s="262"/>
      <c r="JN57" s="262"/>
      <c r="JO57" s="262"/>
      <c r="JP57" s="262"/>
      <c r="JQ57" s="262"/>
      <c r="JR57" s="262"/>
      <c r="JS57" s="262"/>
      <c r="JT57" s="262"/>
      <c r="JU57" s="262"/>
      <c r="JV57" s="262"/>
      <c r="JW57" s="262"/>
      <c r="JX57" s="262"/>
      <c r="JY57" s="262"/>
      <c r="JZ57" s="262"/>
      <c r="KA57" s="262"/>
      <c r="KB57" s="262"/>
      <c r="KC57" s="262"/>
      <c r="KD57" s="262"/>
      <c r="KE57" s="262"/>
      <c r="KF57" s="262"/>
      <c r="KG57" s="262"/>
      <c r="KH57" s="262"/>
      <c r="KI57" s="262"/>
      <c r="KJ57" s="262"/>
      <c r="KK57" s="262"/>
      <c r="KL57" s="262"/>
      <c r="KM57" s="262"/>
      <c r="KN57" s="262"/>
      <c r="KO57" s="262"/>
      <c r="KP57" s="262"/>
      <c r="KQ57" s="262"/>
      <c r="KR57" s="262"/>
      <c r="KS57" s="262"/>
      <c r="KT57" s="262"/>
      <c r="KU57" s="262"/>
      <c r="KV57" s="262"/>
      <c r="KW57" s="262"/>
      <c r="KX57" s="262"/>
      <c r="KY57" s="262"/>
      <c r="KZ57" s="262"/>
    </row>
    <row r="58" spans="1:312" s="85" customFormat="1" ht="50" customHeight="1">
      <c r="A58" s="263" t="s">
        <v>168</v>
      </c>
      <c r="B58" s="264"/>
      <c r="C58" s="86"/>
      <c r="D58" s="86"/>
      <c r="E58" s="60">
        <v>1503</v>
      </c>
      <c r="F58" s="86" t="e">
        <f t="shared" si="0"/>
        <v>#DIV/0!</v>
      </c>
      <c r="G58" s="87">
        <v>6</v>
      </c>
      <c r="H58" s="87">
        <v>8</v>
      </c>
      <c r="I58" s="87"/>
      <c r="J58" s="264" t="s">
        <v>204</v>
      </c>
      <c r="K58" s="265" t="s">
        <v>447</v>
      </c>
      <c r="L58" s="97" t="s">
        <v>335</v>
      </c>
      <c r="M58" s="98"/>
      <c r="N58" s="99"/>
      <c r="O58" s="99" t="s">
        <v>335</v>
      </c>
      <c r="P58" s="266"/>
      <c r="Q58" s="93" t="s">
        <v>689</v>
      </c>
      <c r="R58" s="93" t="s">
        <v>689</v>
      </c>
      <c r="S58" s="60">
        <v>1503</v>
      </c>
      <c r="T58" s="263">
        <f t="shared" si="1"/>
        <v>9018</v>
      </c>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2"/>
      <c r="CV58" s="262"/>
      <c r="CW58" s="262"/>
      <c r="CX58" s="262"/>
      <c r="CY58" s="262"/>
      <c r="CZ58" s="262"/>
      <c r="DA58" s="262"/>
      <c r="DB58" s="262"/>
      <c r="DC58" s="262"/>
      <c r="DD58" s="262"/>
      <c r="DE58" s="262"/>
      <c r="DF58" s="262"/>
      <c r="DG58" s="262"/>
      <c r="DH58" s="262"/>
      <c r="DI58" s="262"/>
      <c r="DJ58" s="262"/>
      <c r="DK58" s="262"/>
      <c r="DL58" s="262"/>
      <c r="DM58" s="262"/>
      <c r="DN58" s="262"/>
      <c r="DO58" s="262"/>
      <c r="DP58" s="262"/>
      <c r="DQ58" s="262"/>
      <c r="DR58" s="262"/>
      <c r="DS58" s="262"/>
      <c r="DT58" s="262"/>
      <c r="DU58" s="262"/>
      <c r="DV58" s="262"/>
      <c r="DW58" s="262"/>
      <c r="DX58" s="262"/>
      <c r="DY58" s="262"/>
      <c r="DZ58" s="262"/>
      <c r="EA58" s="262"/>
      <c r="EB58" s="262"/>
      <c r="EC58" s="262"/>
      <c r="ED58" s="262"/>
      <c r="EE58" s="262"/>
      <c r="EF58" s="262"/>
      <c r="EG58" s="262"/>
      <c r="EH58" s="262"/>
      <c r="EI58" s="262"/>
      <c r="EJ58" s="262"/>
      <c r="EK58" s="262"/>
      <c r="EL58" s="262"/>
      <c r="EM58" s="262"/>
      <c r="EN58" s="262"/>
      <c r="EO58" s="262"/>
      <c r="EP58" s="262"/>
      <c r="EQ58" s="262"/>
      <c r="ER58" s="262"/>
      <c r="ES58" s="262"/>
      <c r="ET58" s="262"/>
      <c r="EU58" s="262"/>
      <c r="EV58" s="262"/>
      <c r="EW58" s="262"/>
      <c r="EX58" s="262"/>
      <c r="EY58" s="262"/>
      <c r="EZ58" s="262"/>
      <c r="FA58" s="262"/>
      <c r="FB58" s="262"/>
      <c r="FC58" s="262"/>
      <c r="FD58" s="262"/>
      <c r="FE58" s="262"/>
      <c r="FF58" s="262"/>
      <c r="FG58" s="262"/>
      <c r="FH58" s="262"/>
      <c r="FI58" s="262"/>
      <c r="FJ58" s="262"/>
      <c r="FK58" s="262"/>
      <c r="FL58" s="262"/>
      <c r="FM58" s="262"/>
      <c r="FN58" s="262"/>
      <c r="FO58" s="262"/>
      <c r="FP58" s="262"/>
      <c r="FQ58" s="262"/>
      <c r="FR58" s="262"/>
      <c r="FS58" s="262"/>
      <c r="FT58" s="262"/>
      <c r="FU58" s="262"/>
      <c r="FV58" s="262"/>
      <c r="FW58" s="262"/>
      <c r="FX58" s="262"/>
      <c r="FY58" s="262"/>
      <c r="FZ58" s="262"/>
      <c r="GA58" s="262"/>
      <c r="GB58" s="262"/>
      <c r="GC58" s="262"/>
      <c r="GD58" s="262"/>
      <c r="GE58" s="262"/>
      <c r="GF58" s="262"/>
      <c r="GG58" s="262"/>
      <c r="GH58" s="262"/>
      <c r="GI58" s="262"/>
      <c r="GJ58" s="262"/>
      <c r="GK58" s="262"/>
      <c r="GL58" s="262"/>
      <c r="GM58" s="262"/>
      <c r="GN58" s="262"/>
      <c r="GO58" s="262"/>
      <c r="GP58" s="262"/>
      <c r="GQ58" s="262"/>
      <c r="GR58" s="262"/>
      <c r="GS58" s="262"/>
      <c r="GT58" s="262"/>
      <c r="GU58" s="262"/>
      <c r="GV58" s="262"/>
      <c r="GW58" s="262"/>
      <c r="GX58" s="262"/>
      <c r="GY58" s="262"/>
      <c r="GZ58" s="262"/>
      <c r="HA58" s="262"/>
      <c r="HB58" s="262"/>
      <c r="HC58" s="262"/>
      <c r="HD58" s="262"/>
      <c r="HE58" s="262"/>
      <c r="HF58" s="262"/>
      <c r="HG58" s="262"/>
      <c r="HH58" s="262"/>
      <c r="HI58" s="262"/>
      <c r="HJ58" s="262"/>
      <c r="HK58" s="262"/>
      <c r="HL58" s="262"/>
      <c r="HM58" s="262"/>
      <c r="HN58" s="262"/>
      <c r="HO58" s="262"/>
      <c r="HP58" s="262"/>
      <c r="HQ58" s="262"/>
      <c r="HR58" s="262"/>
      <c r="HS58" s="262"/>
      <c r="HT58" s="262"/>
      <c r="HU58" s="262"/>
      <c r="HV58" s="262"/>
      <c r="HW58" s="262"/>
      <c r="HX58" s="262"/>
      <c r="HY58" s="262"/>
      <c r="HZ58" s="262"/>
      <c r="IA58" s="262"/>
      <c r="IB58" s="262"/>
      <c r="IC58" s="262"/>
      <c r="ID58" s="262"/>
      <c r="IE58" s="262"/>
      <c r="IF58" s="262"/>
      <c r="IG58" s="262"/>
      <c r="IH58" s="262"/>
      <c r="II58" s="262"/>
      <c r="IJ58" s="262"/>
      <c r="IK58" s="262"/>
      <c r="IL58" s="262"/>
      <c r="IM58" s="262"/>
      <c r="IN58" s="262"/>
      <c r="IO58" s="262"/>
      <c r="IP58" s="262"/>
      <c r="IQ58" s="262"/>
      <c r="IR58" s="262"/>
      <c r="IS58" s="262"/>
      <c r="IT58" s="262"/>
      <c r="IU58" s="262"/>
      <c r="IV58" s="262"/>
      <c r="IW58" s="262"/>
      <c r="IX58" s="262"/>
      <c r="IY58" s="262"/>
      <c r="IZ58" s="262"/>
      <c r="JA58" s="262"/>
      <c r="JB58" s="262"/>
      <c r="JC58" s="262"/>
      <c r="JD58" s="262"/>
      <c r="JE58" s="262"/>
      <c r="JF58" s="262"/>
      <c r="JG58" s="262"/>
      <c r="JH58" s="262"/>
      <c r="JI58" s="262"/>
      <c r="JJ58" s="262"/>
      <c r="JK58" s="262"/>
      <c r="JL58" s="262"/>
      <c r="JM58" s="262"/>
      <c r="JN58" s="262"/>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2"/>
      <c r="KM58" s="262"/>
      <c r="KN58" s="262"/>
      <c r="KO58" s="262"/>
      <c r="KP58" s="262"/>
      <c r="KQ58" s="262"/>
      <c r="KR58" s="262"/>
      <c r="KS58" s="262"/>
      <c r="KT58" s="262"/>
      <c r="KU58" s="262"/>
      <c r="KV58" s="262"/>
      <c r="KW58" s="262"/>
      <c r="KX58" s="262"/>
      <c r="KY58" s="262"/>
      <c r="KZ58" s="262"/>
    </row>
    <row r="59" spans="1:312" s="85" customFormat="1" ht="50" customHeight="1">
      <c r="A59" s="263" t="s">
        <v>136</v>
      </c>
      <c r="B59" s="264"/>
      <c r="C59" s="86"/>
      <c r="D59" s="86"/>
      <c r="E59" s="60">
        <v>184</v>
      </c>
      <c r="F59" s="86" t="e">
        <f t="shared" si="0"/>
        <v>#DIV/0!</v>
      </c>
      <c r="G59" s="87">
        <v>6</v>
      </c>
      <c r="H59" s="87">
        <v>8</v>
      </c>
      <c r="I59" s="87"/>
      <c r="J59" s="87" t="s">
        <v>204</v>
      </c>
      <c r="K59" s="89" t="s">
        <v>703</v>
      </c>
      <c r="L59" s="94"/>
      <c r="M59" s="90" t="s">
        <v>689</v>
      </c>
      <c r="N59" s="91"/>
      <c r="O59" s="91" t="s">
        <v>335</v>
      </c>
      <c r="P59" s="92"/>
      <c r="Q59" s="95" t="s">
        <v>689</v>
      </c>
      <c r="R59" s="95" t="s">
        <v>689</v>
      </c>
      <c r="S59" s="60">
        <v>184</v>
      </c>
      <c r="T59" s="263">
        <f t="shared" si="1"/>
        <v>1104</v>
      </c>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c r="CY59" s="262"/>
      <c r="CZ59" s="262"/>
      <c r="DA59" s="262"/>
      <c r="DB59" s="262"/>
      <c r="DC59" s="262"/>
      <c r="DD59" s="262"/>
      <c r="DE59" s="262"/>
      <c r="DF59" s="262"/>
      <c r="DG59" s="262"/>
      <c r="DH59" s="262"/>
      <c r="DI59" s="262"/>
      <c r="DJ59" s="262"/>
      <c r="DK59" s="262"/>
      <c r="DL59" s="262"/>
      <c r="DM59" s="262"/>
      <c r="DN59" s="262"/>
      <c r="DO59" s="262"/>
      <c r="DP59" s="262"/>
      <c r="DQ59" s="262"/>
      <c r="DR59" s="262"/>
      <c r="DS59" s="262"/>
      <c r="DT59" s="262"/>
      <c r="DU59" s="262"/>
      <c r="DV59" s="262"/>
      <c r="DW59" s="262"/>
      <c r="DX59" s="262"/>
      <c r="DY59" s="262"/>
      <c r="DZ59" s="262"/>
      <c r="EA59" s="262"/>
      <c r="EB59" s="262"/>
      <c r="EC59" s="262"/>
      <c r="ED59" s="262"/>
      <c r="EE59" s="262"/>
      <c r="EF59" s="262"/>
      <c r="EG59" s="262"/>
      <c r="EH59" s="262"/>
      <c r="EI59" s="262"/>
      <c r="EJ59" s="262"/>
      <c r="EK59" s="262"/>
      <c r="EL59" s="262"/>
      <c r="EM59" s="262"/>
      <c r="EN59" s="262"/>
      <c r="EO59" s="262"/>
      <c r="EP59" s="262"/>
      <c r="EQ59" s="262"/>
      <c r="ER59" s="262"/>
      <c r="ES59" s="262"/>
      <c r="ET59" s="262"/>
      <c r="EU59" s="262"/>
      <c r="EV59" s="262"/>
      <c r="EW59" s="262"/>
      <c r="EX59" s="262"/>
      <c r="EY59" s="262"/>
      <c r="EZ59" s="262"/>
      <c r="FA59" s="262"/>
      <c r="FB59" s="262"/>
      <c r="FC59" s="262"/>
      <c r="FD59" s="262"/>
      <c r="FE59" s="262"/>
      <c r="FF59" s="262"/>
      <c r="FG59" s="262"/>
      <c r="FH59" s="262"/>
      <c r="FI59" s="262"/>
      <c r="FJ59" s="262"/>
      <c r="FK59" s="262"/>
      <c r="FL59" s="262"/>
      <c r="FM59" s="262"/>
      <c r="FN59" s="262"/>
      <c r="FO59" s="262"/>
      <c r="FP59" s="262"/>
      <c r="FQ59" s="262"/>
      <c r="FR59" s="262"/>
      <c r="FS59" s="262"/>
      <c r="FT59" s="262"/>
      <c r="FU59" s="262"/>
      <c r="FV59" s="262"/>
      <c r="FW59" s="262"/>
      <c r="FX59" s="262"/>
      <c r="FY59" s="262"/>
      <c r="FZ59" s="262"/>
      <c r="GA59" s="262"/>
      <c r="GB59" s="262"/>
      <c r="GC59" s="262"/>
      <c r="GD59" s="262"/>
      <c r="GE59" s="262"/>
      <c r="GF59" s="262"/>
      <c r="GG59" s="262"/>
      <c r="GH59" s="262"/>
      <c r="GI59" s="262"/>
      <c r="GJ59" s="262"/>
      <c r="GK59" s="262"/>
      <c r="GL59" s="262"/>
      <c r="GM59" s="262"/>
      <c r="GN59" s="262"/>
      <c r="GO59" s="262"/>
      <c r="GP59" s="262"/>
      <c r="GQ59" s="262"/>
      <c r="GR59" s="262"/>
      <c r="GS59" s="262"/>
      <c r="GT59" s="262"/>
      <c r="GU59" s="262"/>
      <c r="GV59" s="262"/>
      <c r="GW59" s="262"/>
      <c r="GX59" s="262"/>
      <c r="GY59" s="262"/>
      <c r="GZ59" s="262"/>
      <c r="HA59" s="262"/>
      <c r="HB59" s="262"/>
      <c r="HC59" s="262"/>
      <c r="HD59" s="262"/>
      <c r="HE59" s="262"/>
      <c r="HF59" s="262"/>
      <c r="HG59" s="262"/>
      <c r="HH59" s="262"/>
      <c r="HI59" s="262"/>
      <c r="HJ59" s="262"/>
      <c r="HK59" s="262"/>
      <c r="HL59" s="262"/>
      <c r="HM59" s="262"/>
      <c r="HN59" s="262"/>
      <c r="HO59" s="262"/>
      <c r="HP59" s="262"/>
      <c r="HQ59" s="262"/>
      <c r="HR59" s="262"/>
      <c r="HS59" s="262"/>
      <c r="HT59" s="262"/>
      <c r="HU59" s="262"/>
      <c r="HV59" s="262"/>
      <c r="HW59" s="262"/>
      <c r="HX59" s="262"/>
      <c r="HY59" s="262"/>
      <c r="HZ59" s="262"/>
      <c r="IA59" s="262"/>
      <c r="IB59" s="262"/>
      <c r="IC59" s="262"/>
      <c r="ID59" s="262"/>
      <c r="IE59" s="262"/>
      <c r="IF59" s="262"/>
      <c r="IG59" s="262"/>
      <c r="IH59" s="262"/>
      <c r="II59" s="262"/>
      <c r="IJ59" s="262"/>
      <c r="IK59" s="262"/>
      <c r="IL59" s="262"/>
      <c r="IM59" s="262"/>
      <c r="IN59" s="262"/>
      <c r="IO59" s="262"/>
      <c r="IP59" s="262"/>
      <c r="IQ59" s="262"/>
      <c r="IR59" s="262"/>
      <c r="IS59" s="262"/>
      <c r="IT59" s="262"/>
      <c r="IU59" s="262"/>
      <c r="IV59" s="262"/>
      <c r="IW59" s="262"/>
      <c r="IX59" s="262"/>
      <c r="IY59" s="262"/>
      <c r="IZ59" s="262"/>
      <c r="JA59" s="262"/>
      <c r="JB59" s="262"/>
      <c r="JC59" s="262"/>
      <c r="JD59" s="262"/>
      <c r="JE59" s="262"/>
      <c r="JF59" s="262"/>
      <c r="JG59" s="262"/>
      <c r="JH59" s="262"/>
      <c r="JI59" s="262"/>
      <c r="JJ59" s="262"/>
      <c r="JK59" s="262"/>
      <c r="JL59" s="262"/>
      <c r="JM59" s="262"/>
      <c r="JN59" s="262"/>
      <c r="JO59" s="262"/>
      <c r="JP59" s="262"/>
      <c r="JQ59" s="262"/>
      <c r="JR59" s="262"/>
      <c r="JS59" s="262"/>
      <c r="JT59" s="262"/>
      <c r="JU59" s="262"/>
      <c r="JV59" s="262"/>
      <c r="JW59" s="262"/>
      <c r="JX59" s="262"/>
      <c r="JY59" s="262"/>
      <c r="JZ59" s="262"/>
      <c r="KA59" s="262"/>
      <c r="KB59" s="262"/>
      <c r="KC59" s="262"/>
      <c r="KD59" s="262"/>
      <c r="KE59" s="262"/>
      <c r="KF59" s="262"/>
      <c r="KG59" s="262"/>
      <c r="KH59" s="262"/>
      <c r="KI59" s="262"/>
      <c r="KJ59" s="262"/>
      <c r="KK59" s="262"/>
      <c r="KL59" s="262"/>
      <c r="KM59" s="262"/>
      <c r="KN59" s="262"/>
      <c r="KO59" s="262"/>
      <c r="KP59" s="262"/>
      <c r="KQ59" s="262"/>
      <c r="KR59" s="262"/>
      <c r="KS59" s="262"/>
      <c r="KT59" s="262"/>
      <c r="KU59" s="262"/>
      <c r="KV59" s="262"/>
      <c r="KW59" s="262"/>
      <c r="KX59" s="262"/>
      <c r="KY59" s="262"/>
      <c r="KZ59" s="262"/>
    </row>
    <row r="60" spans="1:312" s="85" customFormat="1" ht="50" customHeight="1">
      <c r="A60" s="263" t="s">
        <v>140</v>
      </c>
      <c r="B60" s="264"/>
      <c r="C60" s="86"/>
      <c r="D60" s="86"/>
      <c r="E60" s="60">
        <v>1599</v>
      </c>
      <c r="F60" s="86" t="e">
        <f t="shared" si="0"/>
        <v>#DIV/0!</v>
      </c>
      <c r="G60" s="87">
        <v>6</v>
      </c>
      <c r="H60" s="87">
        <v>8</v>
      </c>
      <c r="I60" s="87"/>
      <c r="J60" s="87" t="s">
        <v>204</v>
      </c>
      <c r="K60" s="89" t="s">
        <v>369</v>
      </c>
      <c r="L60" s="90" t="s">
        <v>689</v>
      </c>
      <c r="M60" s="94"/>
      <c r="N60" s="91" t="s">
        <v>335</v>
      </c>
      <c r="O60" s="91" t="s">
        <v>335</v>
      </c>
      <c r="P60" s="92"/>
      <c r="Q60" s="95" t="s">
        <v>689</v>
      </c>
      <c r="R60" s="95"/>
      <c r="S60" s="60">
        <v>1599</v>
      </c>
      <c r="T60" s="263">
        <f t="shared" si="1"/>
        <v>9594</v>
      </c>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2"/>
      <c r="CV60" s="262"/>
      <c r="CW60" s="262"/>
      <c r="CX60" s="262"/>
      <c r="CY60" s="262"/>
      <c r="CZ60" s="262"/>
      <c r="DA60" s="262"/>
      <c r="DB60" s="262"/>
      <c r="DC60" s="262"/>
      <c r="DD60" s="262"/>
      <c r="DE60" s="262"/>
      <c r="DF60" s="262"/>
      <c r="DG60" s="262"/>
      <c r="DH60" s="262"/>
      <c r="DI60" s="262"/>
      <c r="DJ60" s="262"/>
      <c r="DK60" s="262"/>
      <c r="DL60" s="262"/>
      <c r="DM60" s="262"/>
      <c r="DN60" s="262"/>
      <c r="DO60" s="262"/>
      <c r="DP60" s="262"/>
      <c r="DQ60" s="262"/>
      <c r="DR60" s="262"/>
      <c r="DS60" s="262"/>
      <c r="DT60" s="262"/>
      <c r="DU60" s="262"/>
      <c r="DV60" s="262"/>
      <c r="DW60" s="262"/>
      <c r="DX60" s="262"/>
      <c r="DY60" s="262"/>
      <c r="DZ60" s="262"/>
      <c r="EA60" s="262"/>
      <c r="EB60" s="262"/>
      <c r="EC60" s="262"/>
      <c r="ED60" s="262"/>
      <c r="EE60" s="262"/>
      <c r="EF60" s="262"/>
      <c r="EG60" s="262"/>
      <c r="EH60" s="262"/>
      <c r="EI60" s="262"/>
      <c r="EJ60" s="262"/>
      <c r="EK60" s="262"/>
      <c r="EL60" s="262"/>
      <c r="EM60" s="262"/>
      <c r="EN60" s="262"/>
      <c r="EO60" s="262"/>
      <c r="EP60" s="262"/>
      <c r="EQ60" s="262"/>
      <c r="ER60" s="262"/>
      <c r="ES60" s="262"/>
      <c r="ET60" s="262"/>
      <c r="EU60" s="262"/>
      <c r="EV60" s="262"/>
      <c r="EW60" s="262"/>
      <c r="EX60" s="262"/>
      <c r="EY60" s="262"/>
      <c r="EZ60" s="262"/>
      <c r="FA60" s="262"/>
      <c r="FB60" s="262"/>
      <c r="FC60" s="262"/>
      <c r="FD60" s="262"/>
      <c r="FE60" s="262"/>
      <c r="FF60" s="262"/>
      <c r="FG60" s="262"/>
      <c r="FH60" s="262"/>
      <c r="FI60" s="262"/>
      <c r="FJ60" s="262"/>
      <c r="FK60" s="262"/>
      <c r="FL60" s="262"/>
      <c r="FM60" s="262"/>
      <c r="FN60" s="262"/>
      <c r="FO60" s="262"/>
      <c r="FP60" s="262"/>
      <c r="FQ60" s="262"/>
      <c r="FR60" s="262"/>
      <c r="FS60" s="262"/>
      <c r="FT60" s="262"/>
      <c r="FU60" s="262"/>
      <c r="FV60" s="262"/>
      <c r="FW60" s="262"/>
      <c r="FX60" s="262"/>
      <c r="FY60" s="262"/>
      <c r="FZ60" s="262"/>
      <c r="GA60" s="262"/>
      <c r="GB60" s="262"/>
      <c r="GC60" s="262"/>
      <c r="GD60" s="262"/>
      <c r="GE60" s="262"/>
      <c r="GF60" s="262"/>
      <c r="GG60" s="262"/>
      <c r="GH60" s="262"/>
      <c r="GI60" s="262"/>
      <c r="GJ60" s="262"/>
      <c r="GK60" s="262"/>
      <c r="GL60" s="262"/>
      <c r="GM60" s="262"/>
      <c r="GN60" s="262"/>
      <c r="GO60" s="262"/>
      <c r="GP60" s="262"/>
      <c r="GQ60" s="262"/>
      <c r="GR60" s="262"/>
      <c r="GS60" s="262"/>
      <c r="GT60" s="262"/>
      <c r="GU60" s="262"/>
      <c r="GV60" s="262"/>
      <c r="GW60" s="262"/>
      <c r="GX60" s="262"/>
      <c r="GY60" s="262"/>
      <c r="GZ60" s="262"/>
      <c r="HA60" s="262"/>
      <c r="HB60" s="262"/>
      <c r="HC60" s="262"/>
      <c r="HD60" s="262"/>
      <c r="HE60" s="262"/>
      <c r="HF60" s="262"/>
      <c r="HG60" s="262"/>
      <c r="HH60" s="262"/>
      <c r="HI60" s="262"/>
      <c r="HJ60" s="262"/>
      <c r="HK60" s="262"/>
      <c r="HL60" s="262"/>
      <c r="HM60" s="262"/>
      <c r="HN60" s="262"/>
      <c r="HO60" s="262"/>
      <c r="HP60" s="262"/>
      <c r="HQ60" s="262"/>
      <c r="HR60" s="262"/>
      <c r="HS60" s="262"/>
      <c r="HT60" s="262"/>
      <c r="HU60" s="262"/>
      <c r="HV60" s="262"/>
      <c r="HW60" s="262"/>
      <c r="HX60" s="262"/>
      <c r="HY60" s="262"/>
      <c r="HZ60" s="262"/>
      <c r="IA60" s="262"/>
      <c r="IB60" s="262"/>
      <c r="IC60" s="262"/>
      <c r="ID60" s="262"/>
      <c r="IE60" s="262"/>
      <c r="IF60" s="262"/>
      <c r="IG60" s="262"/>
      <c r="IH60" s="262"/>
      <c r="II60" s="262"/>
      <c r="IJ60" s="262"/>
      <c r="IK60" s="262"/>
      <c r="IL60" s="262"/>
      <c r="IM60" s="262"/>
      <c r="IN60" s="262"/>
      <c r="IO60" s="262"/>
      <c r="IP60" s="262"/>
      <c r="IQ60" s="262"/>
      <c r="IR60" s="262"/>
      <c r="IS60" s="262"/>
      <c r="IT60" s="262"/>
      <c r="IU60" s="262"/>
      <c r="IV60" s="262"/>
      <c r="IW60" s="262"/>
      <c r="IX60" s="262"/>
      <c r="IY60" s="262"/>
      <c r="IZ60" s="262"/>
      <c r="JA60" s="262"/>
      <c r="JB60" s="262"/>
      <c r="JC60" s="262"/>
      <c r="JD60" s="262"/>
      <c r="JE60" s="262"/>
      <c r="JF60" s="262"/>
      <c r="JG60" s="262"/>
      <c r="JH60" s="262"/>
      <c r="JI60" s="262"/>
      <c r="JJ60" s="262"/>
      <c r="JK60" s="262"/>
      <c r="JL60" s="262"/>
      <c r="JM60" s="262"/>
      <c r="JN60" s="262"/>
      <c r="JO60" s="262"/>
      <c r="JP60" s="262"/>
      <c r="JQ60" s="262"/>
      <c r="JR60" s="262"/>
      <c r="JS60" s="262"/>
      <c r="JT60" s="262"/>
      <c r="JU60" s="262"/>
      <c r="JV60" s="262"/>
      <c r="JW60" s="262"/>
      <c r="JX60" s="262"/>
      <c r="JY60" s="262"/>
      <c r="JZ60" s="262"/>
      <c r="KA60" s="262"/>
      <c r="KB60" s="262"/>
      <c r="KC60" s="262"/>
      <c r="KD60" s="262"/>
      <c r="KE60" s="262"/>
      <c r="KF60" s="262"/>
      <c r="KG60" s="262"/>
      <c r="KH60" s="262"/>
      <c r="KI60" s="262"/>
      <c r="KJ60" s="262"/>
      <c r="KK60" s="262"/>
      <c r="KL60" s="262"/>
      <c r="KM60" s="262"/>
      <c r="KN60" s="262"/>
      <c r="KO60" s="262"/>
      <c r="KP60" s="262"/>
      <c r="KQ60" s="262"/>
      <c r="KR60" s="262"/>
      <c r="KS60" s="262"/>
      <c r="KT60" s="262"/>
      <c r="KU60" s="262"/>
      <c r="KV60" s="262"/>
      <c r="KW60" s="262"/>
      <c r="KX60" s="262"/>
      <c r="KY60" s="262"/>
      <c r="KZ60" s="262"/>
    </row>
    <row r="61" spans="1:312" s="85" customFormat="1" ht="50" customHeight="1">
      <c r="A61" s="263" t="s">
        <v>170</v>
      </c>
      <c r="B61" s="264"/>
      <c r="C61" s="86"/>
      <c r="D61" s="86"/>
      <c r="E61" s="60">
        <v>1599</v>
      </c>
      <c r="F61" s="86" t="e">
        <f t="shared" si="0"/>
        <v>#DIV/0!</v>
      </c>
      <c r="G61" s="87">
        <v>6</v>
      </c>
      <c r="H61" s="87">
        <v>8</v>
      </c>
      <c r="I61" s="87"/>
      <c r="J61" s="264" t="s">
        <v>204</v>
      </c>
      <c r="K61" s="265" t="s">
        <v>477</v>
      </c>
      <c r="L61" s="97" t="s">
        <v>689</v>
      </c>
      <c r="M61" s="98"/>
      <c r="N61" s="99" t="s">
        <v>335</v>
      </c>
      <c r="O61" s="99" t="s">
        <v>335</v>
      </c>
      <c r="P61" s="266"/>
      <c r="Q61" s="93" t="s">
        <v>689</v>
      </c>
      <c r="R61" s="93"/>
      <c r="S61" s="60">
        <v>1599</v>
      </c>
      <c r="T61" s="263">
        <f t="shared" si="1"/>
        <v>9594</v>
      </c>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c r="CY61" s="262"/>
      <c r="CZ61" s="262"/>
      <c r="DA61" s="262"/>
      <c r="DB61" s="262"/>
      <c r="DC61" s="262"/>
      <c r="DD61" s="262"/>
      <c r="DE61" s="262"/>
      <c r="DF61" s="262"/>
      <c r="DG61" s="262"/>
      <c r="DH61" s="262"/>
      <c r="DI61" s="262"/>
      <c r="DJ61" s="262"/>
      <c r="DK61" s="262"/>
      <c r="DL61" s="262"/>
      <c r="DM61" s="262"/>
      <c r="DN61" s="262"/>
      <c r="DO61" s="262"/>
      <c r="DP61" s="262"/>
      <c r="DQ61" s="262"/>
      <c r="DR61" s="262"/>
      <c r="DS61" s="262"/>
      <c r="DT61" s="262"/>
      <c r="DU61" s="262"/>
      <c r="DV61" s="262"/>
      <c r="DW61" s="262"/>
      <c r="DX61" s="262"/>
      <c r="DY61" s="262"/>
      <c r="DZ61" s="262"/>
      <c r="EA61" s="262"/>
      <c r="EB61" s="262"/>
      <c r="EC61" s="262"/>
      <c r="ED61" s="262"/>
      <c r="EE61" s="262"/>
      <c r="EF61" s="262"/>
      <c r="EG61" s="262"/>
      <c r="EH61" s="262"/>
      <c r="EI61" s="262"/>
      <c r="EJ61" s="262"/>
      <c r="EK61" s="262"/>
      <c r="EL61" s="262"/>
      <c r="EM61" s="262"/>
      <c r="EN61" s="262"/>
      <c r="EO61" s="262"/>
      <c r="EP61" s="262"/>
      <c r="EQ61" s="262"/>
      <c r="ER61" s="262"/>
      <c r="ES61" s="262"/>
      <c r="ET61" s="262"/>
      <c r="EU61" s="262"/>
      <c r="EV61" s="262"/>
      <c r="EW61" s="262"/>
      <c r="EX61" s="262"/>
      <c r="EY61" s="262"/>
      <c r="EZ61" s="262"/>
      <c r="FA61" s="262"/>
      <c r="FB61" s="262"/>
      <c r="FC61" s="262"/>
      <c r="FD61" s="262"/>
      <c r="FE61" s="262"/>
      <c r="FF61" s="262"/>
      <c r="FG61" s="262"/>
      <c r="FH61" s="262"/>
      <c r="FI61" s="262"/>
      <c r="FJ61" s="262"/>
      <c r="FK61" s="262"/>
      <c r="FL61" s="262"/>
      <c r="FM61" s="262"/>
      <c r="FN61" s="262"/>
      <c r="FO61" s="262"/>
      <c r="FP61" s="262"/>
      <c r="FQ61" s="262"/>
      <c r="FR61" s="262"/>
      <c r="FS61" s="262"/>
      <c r="FT61" s="262"/>
      <c r="FU61" s="262"/>
      <c r="FV61" s="262"/>
      <c r="FW61" s="262"/>
      <c r="FX61" s="262"/>
      <c r="FY61" s="262"/>
      <c r="FZ61" s="262"/>
      <c r="GA61" s="262"/>
      <c r="GB61" s="262"/>
      <c r="GC61" s="262"/>
      <c r="GD61" s="262"/>
      <c r="GE61" s="262"/>
      <c r="GF61" s="262"/>
      <c r="GG61" s="262"/>
      <c r="GH61" s="262"/>
      <c r="GI61" s="262"/>
      <c r="GJ61" s="262"/>
      <c r="GK61" s="262"/>
      <c r="GL61" s="262"/>
      <c r="GM61" s="262"/>
      <c r="GN61" s="262"/>
      <c r="GO61" s="262"/>
      <c r="GP61" s="262"/>
      <c r="GQ61" s="262"/>
      <c r="GR61" s="262"/>
      <c r="GS61" s="262"/>
      <c r="GT61" s="262"/>
      <c r="GU61" s="262"/>
      <c r="GV61" s="262"/>
      <c r="GW61" s="262"/>
      <c r="GX61" s="262"/>
      <c r="GY61" s="262"/>
      <c r="GZ61" s="262"/>
      <c r="HA61" s="262"/>
      <c r="HB61" s="262"/>
      <c r="HC61" s="262"/>
      <c r="HD61" s="262"/>
      <c r="HE61" s="262"/>
      <c r="HF61" s="262"/>
      <c r="HG61" s="262"/>
      <c r="HH61" s="262"/>
      <c r="HI61" s="262"/>
      <c r="HJ61" s="262"/>
      <c r="HK61" s="262"/>
      <c r="HL61" s="262"/>
      <c r="HM61" s="262"/>
      <c r="HN61" s="262"/>
      <c r="HO61" s="262"/>
      <c r="HP61" s="262"/>
      <c r="HQ61" s="262"/>
      <c r="HR61" s="262"/>
      <c r="HS61" s="262"/>
      <c r="HT61" s="262"/>
      <c r="HU61" s="262"/>
      <c r="HV61" s="262"/>
      <c r="HW61" s="262"/>
      <c r="HX61" s="262"/>
      <c r="HY61" s="262"/>
      <c r="HZ61" s="262"/>
      <c r="IA61" s="262"/>
      <c r="IB61" s="262"/>
      <c r="IC61" s="262"/>
      <c r="ID61" s="262"/>
      <c r="IE61" s="262"/>
      <c r="IF61" s="262"/>
      <c r="IG61" s="262"/>
      <c r="IH61" s="262"/>
      <c r="II61" s="262"/>
      <c r="IJ61" s="262"/>
      <c r="IK61" s="262"/>
      <c r="IL61" s="262"/>
      <c r="IM61" s="262"/>
      <c r="IN61" s="262"/>
      <c r="IO61" s="262"/>
      <c r="IP61" s="262"/>
      <c r="IQ61" s="262"/>
      <c r="IR61" s="262"/>
      <c r="IS61" s="262"/>
      <c r="IT61" s="262"/>
      <c r="IU61" s="262"/>
      <c r="IV61" s="262"/>
      <c r="IW61" s="262"/>
      <c r="IX61" s="262"/>
      <c r="IY61" s="262"/>
      <c r="IZ61" s="262"/>
      <c r="JA61" s="262"/>
      <c r="JB61" s="262"/>
      <c r="JC61" s="262"/>
      <c r="JD61" s="262"/>
      <c r="JE61" s="262"/>
      <c r="JF61" s="262"/>
      <c r="JG61" s="262"/>
      <c r="JH61" s="262"/>
      <c r="JI61" s="262"/>
      <c r="JJ61" s="262"/>
      <c r="JK61" s="262"/>
      <c r="JL61" s="262"/>
      <c r="JM61" s="262"/>
      <c r="JN61" s="262"/>
      <c r="JO61" s="262"/>
      <c r="JP61" s="262"/>
      <c r="JQ61" s="262"/>
      <c r="JR61" s="262"/>
      <c r="JS61" s="262"/>
      <c r="JT61" s="262"/>
      <c r="JU61" s="262"/>
      <c r="JV61" s="262"/>
      <c r="JW61" s="262"/>
      <c r="JX61" s="262"/>
      <c r="JY61" s="262"/>
      <c r="JZ61" s="262"/>
      <c r="KA61" s="262"/>
      <c r="KB61" s="262"/>
      <c r="KC61" s="262"/>
      <c r="KD61" s="262"/>
      <c r="KE61" s="262"/>
      <c r="KF61" s="262"/>
      <c r="KG61" s="262"/>
      <c r="KH61" s="262"/>
      <c r="KI61" s="262"/>
      <c r="KJ61" s="262"/>
      <c r="KK61" s="262"/>
      <c r="KL61" s="262"/>
      <c r="KM61" s="262"/>
      <c r="KN61" s="262"/>
      <c r="KO61" s="262"/>
      <c r="KP61" s="262"/>
      <c r="KQ61" s="262"/>
      <c r="KR61" s="262"/>
      <c r="KS61" s="262"/>
      <c r="KT61" s="262"/>
      <c r="KU61" s="262"/>
      <c r="KV61" s="262"/>
      <c r="KW61" s="262"/>
      <c r="KX61" s="262"/>
      <c r="KY61" s="262"/>
      <c r="KZ61" s="262"/>
    </row>
    <row r="62" spans="1:312" s="85" customFormat="1" ht="50" customHeight="1">
      <c r="A62" s="263" t="s">
        <v>172</v>
      </c>
      <c r="B62" s="264"/>
      <c r="C62" s="86"/>
      <c r="D62" s="86"/>
      <c r="E62" s="60">
        <v>1599</v>
      </c>
      <c r="F62" s="86" t="e">
        <f t="shared" si="0"/>
        <v>#DIV/0!</v>
      </c>
      <c r="G62" s="87">
        <v>6</v>
      </c>
      <c r="H62" s="87">
        <v>8</v>
      </c>
      <c r="I62" s="87"/>
      <c r="J62" s="264" t="s">
        <v>204</v>
      </c>
      <c r="K62" s="265" t="s">
        <v>481</v>
      </c>
      <c r="L62" s="97" t="s">
        <v>689</v>
      </c>
      <c r="M62" s="98"/>
      <c r="N62" s="99" t="s">
        <v>335</v>
      </c>
      <c r="O62" s="99" t="s">
        <v>335</v>
      </c>
      <c r="P62" s="266"/>
      <c r="Q62" s="93" t="s">
        <v>689</v>
      </c>
      <c r="R62" s="93"/>
      <c r="S62" s="60">
        <v>1599</v>
      </c>
      <c r="T62" s="263">
        <f t="shared" si="1"/>
        <v>9594</v>
      </c>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2"/>
      <c r="DL62" s="262"/>
      <c r="DM62" s="262"/>
      <c r="DN62" s="262"/>
      <c r="DO62" s="262"/>
      <c r="DP62" s="262"/>
      <c r="DQ62" s="262"/>
      <c r="DR62" s="262"/>
      <c r="DS62" s="262"/>
      <c r="DT62" s="262"/>
      <c r="DU62" s="262"/>
      <c r="DV62" s="262"/>
      <c r="DW62" s="262"/>
      <c r="DX62" s="262"/>
      <c r="DY62" s="262"/>
      <c r="DZ62" s="262"/>
      <c r="EA62" s="262"/>
      <c r="EB62" s="262"/>
      <c r="EC62" s="262"/>
      <c r="ED62" s="262"/>
      <c r="EE62" s="262"/>
      <c r="EF62" s="262"/>
      <c r="EG62" s="262"/>
      <c r="EH62" s="262"/>
      <c r="EI62" s="262"/>
      <c r="EJ62" s="262"/>
      <c r="EK62" s="262"/>
      <c r="EL62" s="262"/>
      <c r="EM62" s="262"/>
      <c r="EN62" s="262"/>
      <c r="EO62" s="262"/>
      <c r="EP62" s="262"/>
      <c r="EQ62" s="262"/>
      <c r="ER62" s="262"/>
      <c r="ES62" s="262"/>
      <c r="ET62" s="262"/>
      <c r="EU62" s="262"/>
      <c r="EV62" s="262"/>
      <c r="EW62" s="262"/>
      <c r="EX62" s="262"/>
      <c r="EY62" s="262"/>
      <c r="EZ62" s="262"/>
      <c r="FA62" s="262"/>
      <c r="FB62" s="262"/>
      <c r="FC62" s="262"/>
      <c r="FD62" s="262"/>
      <c r="FE62" s="262"/>
      <c r="FF62" s="262"/>
      <c r="FG62" s="262"/>
      <c r="FH62" s="262"/>
      <c r="FI62" s="262"/>
      <c r="FJ62" s="262"/>
      <c r="FK62" s="262"/>
      <c r="FL62" s="262"/>
      <c r="FM62" s="262"/>
      <c r="FN62" s="262"/>
      <c r="FO62" s="262"/>
      <c r="FP62" s="262"/>
      <c r="FQ62" s="262"/>
      <c r="FR62" s="262"/>
      <c r="FS62" s="262"/>
      <c r="FT62" s="262"/>
      <c r="FU62" s="262"/>
      <c r="FV62" s="262"/>
      <c r="FW62" s="262"/>
      <c r="FX62" s="262"/>
      <c r="FY62" s="262"/>
      <c r="FZ62" s="262"/>
      <c r="GA62" s="262"/>
      <c r="GB62" s="262"/>
      <c r="GC62" s="262"/>
      <c r="GD62" s="262"/>
      <c r="GE62" s="262"/>
      <c r="GF62" s="262"/>
      <c r="GG62" s="262"/>
      <c r="GH62" s="262"/>
      <c r="GI62" s="262"/>
      <c r="GJ62" s="262"/>
      <c r="GK62" s="262"/>
      <c r="GL62" s="262"/>
      <c r="GM62" s="262"/>
      <c r="GN62" s="262"/>
      <c r="GO62" s="262"/>
      <c r="GP62" s="262"/>
      <c r="GQ62" s="262"/>
      <c r="GR62" s="262"/>
      <c r="GS62" s="262"/>
      <c r="GT62" s="262"/>
      <c r="GU62" s="262"/>
      <c r="GV62" s="262"/>
      <c r="GW62" s="262"/>
      <c r="GX62" s="262"/>
      <c r="GY62" s="262"/>
      <c r="GZ62" s="262"/>
      <c r="HA62" s="262"/>
      <c r="HB62" s="262"/>
      <c r="HC62" s="262"/>
      <c r="HD62" s="262"/>
      <c r="HE62" s="262"/>
      <c r="HF62" s="262"/>
      <c r="HG62" s="262"/>
      <c r="HH62" s="262"/>
      <c r="HI62" s="262"/>
      <c r="HJ62" s="262"/>
      <c r="HK62" s="262"/>
      <c r="HL62" s="262"/>
      <c r="HM62" s="262"/>
      <c r="HN62" s="262"/>
      <c r="HO62" s="262"/>
      <c r="HP62" s="262"/>
      <c r="HQ62" s="262"/>
      <c r="HR62" s="262"/>
      <c r="HS62" s="262"/>
      <c r="HT62" s="262"/>
      <c r="HU62" s="262"/>
      <c r="HV62" s="262"/>
      <c r="HW62" s="262"/>
      <c r="HX62" s="262"/>
      <c r="HY62" s="262"/>
      <c r="HZ62" s="262"/>
      <c r="IA62" s="262"/>
      <c r="IB62" s="262"/>
      <c r="IC62" s="262"/>
      <c r="ID62" s="262"/>
      <c r="IE62" s="262"/>
      <c r="IF62" s="262"/>
      <c r="IG62" s="262"/>
      <c r="IH62" s="262"/>
      <c r="II62" s="262"/>
      <c r="IJ62" s="262"/>
      <c r="IK62" s="262"/>
      <c r="IL62" s="262"/>
      <c r="IM62" s="262"/>
      <c r="IN62" s="262"/>
      <c r="IO62" s="262"/>
      <c r="IP62" s="262"/>
      <c r="IQ62" s="262"/>
      <c r="IR62" s="262"/>
      <c r="IS62" s="262"/>
      <c r="IT62" s="262"/>
      <c r="IU62" s="262"/>
      <c r="IV62" s="262"/>
      <c r="IW62" s="262"/>
      <c r="IX62" s="262"/>
      <c r="IY62" s="262"/>
      <c r="IZ62" s="262"/>
      <c r="JA62" s="262"/>
      <c r="JB62" s="262"/>
      <c r="JC62" s="262"/>
      <c r="JD62" s="262"/>
      <c r="JE62" s="262"/>
      <c r="JF62" s="262"/>
      <c r="JG62" s="262"/>
      <c r="JH62" s="262"/>
      <c r="JI62" s="262"/>
      <c r="JJ62" s="262"/>
      <c r="JK62" s="262"/>
      <c r="JL62" s="262"/>
      <c r="JM62" s="262"/>
      <c r="JN62" s="262"/>
      <c r="JO62" s="262"/>
      <c r="JP62" s="262"/>
      <c r="JQ62" s="262"/>
      <c r="JR62" s="262"/>
      <c r="JS62" s="262"/>
      <c r="JT62" s="262"/>
      <c r="JU62" s="262"/>
      <c r="JV62" s="262"/>
      <c r="JW62" s="262"/>
      <c r="JX62" s="262"/>
      <c r="JY62" s="262"/>
      <c r="JZ62" s="262"/>
      <c r="KA62" s="262"/>
      <c r="KB62" s="262"/>
      <c r="KC62" s="262"/>
      <c r="KD62" s="262"/>
      <c r="KE62" s="262"/>
      <c r="KF62" s="262"/>
      <c r="KG62" s="262"/>
      <c r="KH62" s="262"/>
      <c r="KI62" s="262"/>
      <c r="KJ62" s="262"/>
      <c r="KK62" s="262"/>
      <c r="KL62" s="262"/>
      <c r="KM62" s="262"/>
      <c r="KN62" s="262"/>
      <c r="KO62" s="262"/>
      <c r="KP62" s="262"/>
      <c r="KQ62" s="262"/>
      <c r="KR62" s="262"/>
      <c r="KS62" s="262"/>
      <c r="KT62" s="262"/>
      <c r="KU62" s="262"/>
      <c r="KV62" s="262"/>
      <c r="KW62" s="262"/>
      <c r="KX62" s="262"/>
      <c r="KY62" s="262"/>
      <c r="KZ62" s="262"/>
    </row>
    <row r="63" spans="1:312" s="85" customFormat="1" ht="50" customHeight="1">
      <c r="A63" s="263" t="s">
        <v>487</v>
      </c>
      <c r="B63" s="264"/>
      <c r="C63" s="86"/>
      <c r="D63" s="86"/>
      <c r="E63" s="60">
        <v>1503</v>
      </c>
      <c r="F63" s="86" t="e">
        <f t="shared" si="0"/>
        <v>#DIV/0!</v>
      </c>
      <c r="G63" s="87">
        <v>6</v>
      </c>
      <c r="H63" s="87">
        <v>8</v>
      </c>
      <c r="I63" s="87"/>
      <c r="J63" s="264" t="s">
        <v>204</v>
      </c>
      <c r="K63" s="265" t="s">
        <v>488</v>
      </c>
      <c r="L63" s="97" t="s">
        <v>689</v>
      </c>
      <c r="M63" s="98"/>
      <c r="N63" s="99"/>
      <c r="O63" s="99" t="s">
        <v>335</v>
      </c>
      <c r="P63" s="266"/>
      <c r="Q63" s="93" t="s">
        <v>689</v>
      </c>
      <c r="R63" s="93"/>
      <c r="S63" s="60">
        <v>1503</v>
      </c>
      <c r="T63" s="263">
        <f t="shared" si="1"/>
        <v>9018</v>
      </c>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c r="CY63" s="262"/>
      <c r="CZ63" s="262"/>
      <c r="DA63" s="262"/>
      <c r="DB63" s="262"/>
      <c r="DC63" s="262"/>
      <c r="DD63" s="262"/>
      <c r="DE63" s="262"/>
      <c r="DF63" s="262"/>
      <c r="DG63" s="262"/>
      <c r="DH63" s="262"/>
      <c r="DI63" s="262"/>
      <c r="DJ63" s="262"/>
      <c r="DK63" s="262"/>
      <c r="DL63" s="262"/>
      <c r="DM63" s="262"/>
      <c r="DN63" s="262"/>
      <c r="DO63" s="262"/>
      <c r="DP63" s="262"/>
      <c r="DQ63" s="262"/>
      <c r="DR63" s="262"/>
      <c r="DS63" s="262"/>
      <c r="DT63" s="262"/>
      <c r="DU63" s="262"/>
      <c r="DV63" s="262"/>
      <c r="DW63" s="262"/>
      <c r="DX63" s="262"/>
      <c r="DY63" s="262"/>
      <c r="DZ63" s="262"/>
      <c r="EA63" s="262"/>
      <c r="EB63" s="262"/>
      <c r="EC63" s="262"/>
      <c r="ED63" s="262"/>
      <c r="EE63" s="262"/>
      <c r="EF63" s="262"/>
      <c r="EG63" s="262"/>
      <c r="EH63" s="262"/>
      <c r="EI63" s="262"/>
      <c r="EJ63" s="262"/>
      <c r="EK63" s="262"/>
      <c r="EL63" s="262"/>
      <c r="EM63" s="262"/>
      <c r="EN63" s="262"/>
      <c r="EO63" s="262"/>
      <c r="EP63" s="262"/>
      <c r="EQ63" s="262"/>
      <c r="ER63" s="262"/>
      <c r="ES63" s="262"/>
      <c r="ET63" s="262"/>
      <c r="EU63" s="262"/>
      <c r="EV63" s="262"/>
      <c r="EW63" s="262"/>
      <c r="EX63" s="262"/>
      <c r="EY63" s="262"/>
      <c r="EZ63" s="262"/>
      <c r="FA63" s="262"/>
      <c r="FB63" s="262"/>
      <c r="FC63" s="262"/>
      <c r="FD63" s="262"/>
      <c r="FE63" s="262"/>
      <c r="FF63" s="262"/>
      <c r="FG63" s="262"/>
      <c r="FH63" s="262"/>
      <c r="FI63" s="262"/>
      <c r="FJ63" s="262"/>
      <c r="FK63" s="262"/>
      <c r="FL63" s="262"/>
      <c r="FM63" s="262"/>
      <c r="FN63" s="262"/>
      <c r="FO63" s="262"/>
      <c r="FP63" s="262"/>
      <c r="FQ63" s="262"/>
      <c r="FR63" s="262"/>
      <c r="FS63" s="262"/>
      <c r="FT63" s="262"/>
      <c r="FU63" s="262"/>
      <c r="FV63" s="262"/>
      <c r="FW63" s="262"/>
      <c r="FX63" s="262"/>
      <c r="FY63" s="262"/>
      <c r="FZ63" s="262"/>
      <c r="GA63" s="262"/>
      <c r="GB63" s="262"/>
      <c r="GC63" s="262"/>
      <c r="GD63" s="262"/>
      <c r="GE63" s="262"/>
      <c r="GF63" s="262"/>
      <c r="GG63" s="262"/>
      <c r="GH63" s="262"/>
      <c r="GI63" s="262"/>
      <c r="GJ63" s="262"/>
      <c r="GK63" s="262"/>
      <c r="GL63" s="262"/>
      <c r="GM63" s="262"/>
      <c r="GN63" s="262"/>
      <c r="GO63" s="262"/>
      <c r="GP63" s="262"/>
      <c r="GQ63" s="262"/>
      <c r="GR63" s="262"/>
      <c r="GS63" s="262"/>
      <c r="GT63" s="262"/>
      <c r="GU63" s="262"/>
      <c r="GV63" s="262"/>
      <c r="GW63" s="262"/>
      <c r="GX63" s="262"/>
      <c r="GY63" s="262"/>
      <c r="GZ63" s="262"/>
      <c r="HA63" s="262"/>
      <c r="HB63" s="262"/>
      <c r="HC63" s="262"/>
      <c r="HD63" s="262"/>
      <c r="HE63" s="262"/>
      <c r="HF63" s="262"/>
      <c r="HG63" s="262"/>
      <c r="HH63" s="262"/>
      <c r="HI63" s="262"/>
      <c r="HJ63" s="262"/>
      <c r="HK63" s="262"/>
      <c r="HL63" s="262"/>
      <c r="HM63" s="262"/>
      <c r="HN63" s="262"/>
      <c r="HO63" s="262"/>
      <c r="HP63" s="262"/>
      <c r="HQ63" s="262"/>
      <c r="HR63" s="262"/>
      <c r="HS63" s="262"/>
      <c r="HT63" s="262"/>
      <c r="HU63" s="262"/>
      <c r="HV63" s="262"/>
      <c r="HW63" s="262"/>
      <c r="HX63" s="262"/>
      <c r="HY63" s="262"/>
      <c r="HZ63" s="262"/>
      <c r="IA63" s="262"/>
      <c r="IB63" s="262"/>
      <c r="IC63" s="262"/>
      <c r="ID63" s="262"/>
      <c r="IE63" s="262"/>
      <c r="IF63" s="262"/>
      <c r="IG63" s="262"/>
      <c r="IH63" s="262"/>
      <c r="II63" s="262"/>
      <c r="IJ63" s="262"/>
      <c r="IK63" s="262"/>
      <c r="IL63" s="262"/>
      <c r="IM63" s="262"/>
      <c r="IN63" s="262"/>
      <c r="IO63" s="262"/>
      <c r="IP63" s="262"/>
      <c r="IQ63" s="262"/>
      <c r="IR63" s="262"/>
      <c r="IS63" s="262"/>
      <c r="IT63" s="262"/>
      <c r="IU63" s="262"/>
      <c r="IV63" s="262"/>
      <c r="IW63" s="262"/>
      <c r="IX63" s="262"/>
      <c r="IY63" s="262"/>
      <c r="IZ63" s="262"/>
      <c r="JA63" s="262"/>
      <c r="JB63" s="262"/>
      <c r="JC63" s="262"/>
      <c r="JD63" s="262"/>
      <c r="JE63" s="262"/>
      <c r="JF63" s="262"/>
      <c r="JG63" s="262"/>
      <c r="JH63" s="262"/>
      <c r="JI63" s="262"/>
      <c r="JJ63" s="262"/>
      <c r="JK63" s="262"/>
      <c r="JL63" s="262"/>
      <c r="JM63" s="262"/>
      <c r="JN63" s="262"/>
      <c r="JO63" s="262"/>
      <c r="JP63" s="262"/>
      <c r="JQ63" s="262"/>
      <c r="JR63" s="262"/>
      <c r="JS63" s="262"/>
      <c r="JT63" s="262"/>
      <c r="JU63" s="262"/>
      <c r="JV63" s="262"/>
      <c r="JW63" s="262"/>
      <c r="JX63" s="262"/>
      <c r="JY63" s="262"/>
      <c r="JZ63" s="262"/>
      <c r="KA63" s="262"/>
      <c r="KB63" s="262"/>
      <c r="KC63" s="262"/>
      <c r="KD63" s="262"/>
      <c r="KE63" s="262"/>
      <c r="KF63" s="262"/>
      <c r="KG63" s="262"/>
      <c r="KH63" s="262"/>
      <c r="KI63" s="262"/>
      <c r="KJ63" s="262"/>
      <c r="KK63" s="262"/>
      <c r="KL63" s="262"/>
      <c r="KM63" s="262"/>
      <c r="KN63" s="262"/>
      <c r="KO63" s="262"/>
      <c r="KP63" s="262"/>
      <c r="KQ63" s="262"/>
      <c r="KR63" s="262"/>
      <c r="KS63" s="262"/>
      <c r="KT63" s="262"/>
      <c r="KU63" s="262"/>
      <c r="KV63" s="262"/>
      <c r="KW63" s="262"/>
      <c r="KX63" s="262"/>
      <c r="KY63" s="262"/>
      <c r="KZ63" s="262"/>
    </row>
    <row r="64" spans="1:312" s="85" customFormat="1" ht="50" customHeight="1">
      <c r="A64" s="263" t="s">
        <v>422</v>
      </c>
      <c r="B64" s="264"/>
      <c r="C64" s="86"/>
      <c r="D64" s="86"/>
      <c r="E64" s="60">
        <v>68</v>
      </c>
      <c r="F64" s="86" t="e">
        <f t="shared" si="0"/>
        <v>#DIV/0!</v>
      </c>
      <c r="G64" s="87">
        <v>6</v>
      </c>
      <c r="H64" s="87">
        <v>8</v>
      </c>
      <c r="I64" s="87"/>
      <c r="J64" s="87" t="s">
        <v>367</v>
      </c>
      <c r="K64" s="89" t="s">
        <v>423</v>
      </c>
      <c r="L64" s="94"/>
      <c r="M64" s="94"/>
      <c r="N64" s="91"/>
      <c r="O64" s="91" t="s">
        <v>335</v>
      </c>
      <c r="P64" s="92"/>
      <c r="Q64" s="93" t="s">
        <v>689</v>
      </c>
      <c r="R64" s="93" t="s">
        <v>689</v>
      </c>
      <c r="S64" s="60">
        <v>68</v>
      </c>
      <c r="T64" s="263">
        <f t="shared" si="1"/>
        <v>408</v>
      </c>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c r="CY64" s="262"/>
      <c r="CZ64" s="262"/>
      <c r="DA64" s="262"/>
      <c r="DB64" s="262"/>
      <c r="DC64" s="262"/>
      <c r="DD64" s="262"/>
      <c r="DE64" s="262"/>
      <c r="DF64" s="262"/>
      <c r="DG64" s="262"/>
      <c r="DH64" s="262"/>
      <c r="DI64" s="262"/>
      <c r="DJ64" s="262"/>
      <c r="DK64" s="262"/>
      <c r="DL64" s="262"/>
      <c r="DM64" s="262"/>
      <c r="DN64" s="262"/>
      <c r="DO64" s="262"/>
      <c r="DP64" s="262"/>
      <c r="DQ64" s="262"/>
      <c r="DR64" s="262"/>
      <c r="DS64" s="262"/>
      <c r="DT64" s="262"/>
      <c r="DU64" s="262"/>
      <c r="DV64" s="262"/>
      <c r="DW64" s="262"/>
      <c r="DX64" s="262"/>
      <c r="DY64" s="262"/>
      <c r="DZ64" s="262"/>
      <c r="EA64" s="262"/>
      <c r="EB64" s="262"/>
      <c r="EC64" s="262"/>
      <c r="ED64" s="262"/>
      <c r="EE64" s="262"/>
      <c r="EF64" s="262"/>
      <c r="EG64" s="262"/>
      <c r="EH64" s="262"/>
      <c r="EI64" s="262"/>
      <c r="EJ64" s="262"/>
      <c r="EK64" s="262"/>
      <c r="EL64" s="262"/>
      <c r="EM64" s="262"/>
      <c r="EN64" s="262"/>
      <c r="EO64" s="262"/>
      <c r="EP64" s="262"/>
      <c r="EQ64" s="262"/>
      <c r="ER64" s="262"/>
      <c r="ES64" s="262"/>
      <c r="ET64" s="262"/>
      <c r="EU64" s="262"/>
      <c r="EV64" s="262"/>
      <c r="EW64" s="262"/>
      <c r="EX64" s="262"/>
      <c r="EY64" s="262"/>
      <c r="EZ64" s="262"/>
      <c r="FA64" s="262"/>
      <c r="FB64" s="262"/>
      <c r="FC64" s="262"/>
      <c r="FD64" s="262"/>
      <c r="FE64" s="262"/>
      <c r="FF64" s="262"/>
      <c r="FG64" s="262"/>
      <c r="FH64" s="262"/>
      <c r="FI64" s="262"/>
      <c r="FJ64" s="262"/>
      <c r="FK64" s="262"/>
      <c r="FL64" s="262"/>
      <c r="FM64" s="262"/>
      <c r="FN64" s="262"/>
      <c r="FO64" s="262"/>
      <c r="FP64" s="262"/>
      <c r="FQ64" s="262"/>
      <c r="FR64" s="262"/>
      <c r="FS64" s="262"/>
      <c r="FT64" s="262"/>
      <c r="FU64" s="262"/>
      <c r="FV64" s="262"/>
      <c r="FW64" s="262"/>
      <c r="FX64" s="262"/>
      <c r="FY64" s="262"/>
      <c r="FZ64" s="262"/>
      <c r="GA64" s="262"/>
      <c r="GB64" s="262"/>
      <c r="GC64" s="262"/>
      <c r="GD64" s="262"/>
      <c r="GE64" s="262"/>
      <c r="GF64" s="262"/>
      <c r="GG64" s="262"/>
      <c r="GH64" s="262"/>
      <c r="GI64" s="262"/>
      <c r="GJ64" s="262"/>
      <c r="GK64" s="262"/>
      <c r="GL64" s="262"/>
      <c r="GM64" s="262"/>
      <c r="GN64" s="262"/>
      <c r="GO64" s="262"/>
      <c r="GP64" s="262"/>
      <c r="GQ64" s="262"/>
      <c r="GR64" s="262"/>
      <c r="GS64" s="262"/>
      <c r="GT64" s="262"/>
      <c r="GU64" s="262"/>
      <c r="GV64" s="262"/>
      <c r="GW64" s="262"/>
      <c r="GX64" s="262"/>
      <c r="GY64" s="262"/>
      <c r="GZ64" s="262"/>
      <c r="HA64" s="262"/>
      <c r="HB64" s="262"/>
      <c r="HC64" s="262"/>
      <c r="HD64" s="262"/>
      <c r="HE64" s="262"/>
      <c r="HF64" s="262"/>
      <c r="HG64" s="262"/>
      <c r="HH64" s="262"/>
      <c r="HI64" s="262"/>
      <c r="HJ64" s="262"/>
      <c r="HK64" s="262"/>
      <c r="HL64" s="262"/>
      <c r="HM64" s="262"/>
      <c r="HN64" s="262"/>
      <c r="HO64" s="262"/>
      <c r="HP64" s="262"/>
      <c r="HQ64" s="262"/>
      <c r="HR64" s="262"/>
      <c r="HS64" s="262"/>
      <c r="HT64" s="262"/>
      <c r="HU64" s="262"/>
      <c r="HV64" s="262"/>
      <c r="HW64" s="262"/>
      <c r="HX64" s="262"/>
      <c r="HY64" s="262"/>
      <c r="HZ64" s="262"/>
      <c r="IA64" s="262"/>
      <c r="IB64" s="262"/>
      <c r="IC64" s="262"/>
      <c r="ID64" s="262"/>
      <c r="IE64" s="262"/>
      <c r="IF64" s="262"/>
      <c r="IG64" s="262"/>
      <c r="IH64" s="262"/>
      <c r="II64" s="262"/>
      <c r="IJ64" s="262"/>
      <c r="IK64" s="262"/>
      <c r="IL64" s="262"/>
      <c r="IM64" s="262"/>
      <c r="IN64" s="262"/>
      <c r="IO64" s="262"/>
      <c r="IP64" s="262"/>
      <c r="IQ64" s="262"/>
      <c r="IR64" s="262"/>
      <c r="IS64" s="262"/>
      <c r="IT64" s="262"/>
      <c r="IU64" s="262"/>
      <c r="IV64" s="262"/>
      <c r="IW64" s="262"/>
      <c r="IX64" s="262"/>
      <c r="IY64" s="262"/>
      <c r="IZ64" s="262"/>
      <c r="JA64" s="262"/>
      <c r="JB64" s="262"/>
      <c r="JC64" s="262"/>
      <c r="JD64" s="262"/>
      <c r="JE64" s="262"/>
      <c r="JF64" s="262"/>
      <c r="JG64" s="262"/>
      <c r="JH64" s="262"/>
      <c r="JI64" s="262"/>
      <c r="JJ64" s="262"/>
      <c r="JK64" s="262"/>
      <c r="JL64" s="262"/>
      <c r="JM64" s="262"/>
      <c r="JN64" s="262"/>
      <c r="JO64" s="262"/>
      <c r="JP64" s="262"/>
      <c r="JQ64" s="262"/>
      <c r="JR64" s="262"/>
      <c r="JS64" s="262"/>
      <c r="JT64" s="262"/>
      <c r="JU64" s="262"/>
      <c r="JV64" s="262"/>
      <c r="JW64" s="262"/>
      <c r="JX64" s="262"/>
      <c r="JY64" s="262"/>
      <c r="JZ64" s="262"/>
      <c r="KA64" s="262"/>
      <c r="KB64" s="262"/>
      <c r="KC64" s="262"/>
      <c r="KD64" s="262"/>
      <c r="KE64" s="262"/>
      <c r="KF64" s="262"/>
      <c r="KG64" s="262"/>
      <c r="KH64" s="262"/>
      <c r="KI64" s="262"/>
      <c r="KJ64" s="262"/>
      <c r="KK64" s="262"/>
      <c r="KL64" s="262"/>
      <c r="KM64" s="262"/>
      <c r="KN64" s="262"/>
      <c r="KO64" s="262"/>
      <c r="KP64" s="262"/>
      <c r="KQ64" s="262"/>
      <c r="KR64" s="262"/>
      <c r="KS64" s="262"/>
      <c r="KT64" s="262"/>
      <c r="KU64" s="262"/>
      <c r="KV64" s="262"/>
      <c r="KW64" s="262"/>
      <c r="KX64" s="262"/>
      <c r="KY64" s="262"/>
      <c r="KZ64" s="262"/>
    </row>
    <row r="65" spans="1:312" s="85" customFormat="1" ht="50" customHeight="1">
      <c r="A65" s="263" t="s">
        <v>177</v>
      </c>
      <c r="B65" s="264"/>
      <c r="C65" s="86"/>
      <c r="D65" s="86"/>
      <c r="E65" s="60">
        <v>1599</v>
      </c>
      <c r="F65" s="86" t="e">
        <f t="shared" si="0"/>
        <v>#DIV/0!</v>
      </c>
      <c r="G65" s="87">
        <v>6</v>
      </c>
      <c r="H65" s="87">
        <v>8</v>
      </c>
      <c r="I65" s="87"/>
      <c r="J65" s="264" t="s">
        <v>217</v>
      </c>
      <c r="K65" s="265" t="s">
        <v>494</v>
      </c>
      <c r="L65" s="97" t="s">
        <v>689</v>
      </c>
      <c r="M65" s="98"/>
      <c r="N65" s="99" t="s">
        <v>335</v>
      </c>
      <c r="O65" s="99" t="s">
        <v>335</v>
      </c>
      <c r="P65" s="266"/>
      <c r="Q65" s="93" t="s">
        <v>689</v>
      </c>
      <c r="R65" s="93"/>
      <c r="S65" s="60">
        <v>1599</v>
      </c>
      <c r="T65" s="263">
        <f t="shared" si="1"/>
        <v>9594</v>
      </c>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c r="CY65" s="262"/>
      <c r="CZ65" s="262"/>
      <c r="DA65" s="262"/>
      <c r="DB65" s="262"/>
      <c r="DC65" s="262"/>
      <c r="DD65" s="262"/>
      <c r="DE65" s="262"/>
      <c r="DF65" s="262"/>
      <c r="DG65" s="262"/>
      <c r="DH65" s="262"/>
      <c r="DI65" s="262"/>
      <c r="DJ65" s="262"/>
      <c r="DK65" s="262"/>
      <c r="DL65" s="262"/>
      <c r="DM65" s="262"/>
      <c r="DN65" s="262"/>
      <c r="DO65" s="262"/>
      <c r="DP65" s="262"/>
      <c r="DQ65" s="262"/>
      <c r="DR65" s="262"/>
      <c r="DS65" s="262"/>
      <c r="DT65" s="262"/>
      <c r="DU65" s="262"/>
      <c r="DV65" s="262"/>
      <c r="DW65" s="262"/>
      <c r="DX65" s="262"/>
      <c r="DY65" s="262"/>
      <c r="DZ65" s="262"/>
      <c r="EA65" s="262"/>
      <c r="EB65" s="262"/>
      <c r="EC65" s="262"/>
      <c r="ED65" s="262"/>
      <c r="EE65" s="262"/>
      <c r="EF65" s="262"/>
      <c r="EG65" s="262"/>
      <c r="EH65" s="262"/>
      <c r="EI65" s="262"/>
      <c r="EJ65" s="262"/>
      <c r="EK65" s="262"/>
      <c r="EL65" s="262"/>
      <c r="EM65" s="262"/>
      <c r="EN65" s="262"/>
      <c r="EO65" s="262"/>
      <c r="EP65" s="262"/>
      <c r="EQ65" s="262"/>
      <c r="ER65" s="262"/>
      <c r="ES65" s="262"/>
      <c r="ET65" s="262"/>
      <c r="EU65" s="262"/>
      <c r="EV65" s="262"/>
      <c r="EW65" s="262"/>
      <c r="EX65" s="262"/>
      <c r="EY65" s="262"/>
      <c r="EZ65" s="262"/>
      <c r="FA65" s="262"/>
      <c r="FB65" s="262"/>
      <c r="FC65" s="262"/>
      <c r="FD65" s="262"/>
      <c r="FE65" s="262"/>
      <c r="FF65" s="262"/>
      <c r="FG65" s="262"/>
      <c r="FH65" s="262"/>
      <c r="FI65" s="262"/>
      <c r="FJ65" s="262"/>
      <c r="FK65" s="262"/>
      <c r="FL65" s="262"/>
      <c r="FM65" s="262"/>
      <c r="FN65" s="262"/>
      <c r="FO65" s="262"/>
      <c r="FP65" s="262"/>
      <c r="FQ65" s="262"/>
      <c r="FR65" s="262"/>
      <c r="FS65" s="262"/>
      <c r="FT65" s="262"/>
      <c r="FU65" s="262"/>
      <c r="FV65" s="262"/>
      <c r="FW65" s="262"/>
      <c r="FX65" s="262"/>
      <c r="FY65" s="262"/>
      <c r="FZ65" s="262"/>
      <c r="GA65" s="262"/>
      <c r="GB65" s="262"/>
      <c r="GC65" s="262"/>
      <c r="GD65" s="262"/>
      <c r="GE65" s="262"/>
      <c r="GF65" s="262"/>
      <c r="GG65" s="262"/>
      <c r="GH65" s="262"/>
      <c r="GI65" s="262"/>
      <c r="GJ65" s="262"/>
      <c r="GK65" s="262"/>
      <c r="GL65" s="262"/>
      <c r="GM65" s="262"/>
      <c r="GN65" s="262"/>
      <c r="GO65" s="262"/>
      <c r="GP65" s="262"/>
      <c r="GQ65" s="262"/>
      <c r="GR65" s="262"/>
      <c r="GS65" s="262"/>
      <c r="GT65" s="262"/>
      <c r="GU65" s="262"/>
      <c r="GV65" s="262"/>
      <c r="GW65" s="262"/>
      <c r="GX65" s="262"/>
      <c r="GY65" s="262"/>
      <c r="GZ65" s="262"/>
      <c r="HA65" s="262"/>
      <c r="HB65" s="262"/>
      <c r="HC65" s="262"/>
      <c r="HD65" s="262"/>
      <c r="HE65" s="262"/>
      <c r="HF65" s="262"/>
      <c r="HG65" s="262"/>
      <c r="HH65" s="262"/>
      <c r="HI65" s="262"/>
      <c r="HJ65" s="262"/>
      <c r="HK65" s="262"/>
      <c r="HL65" s="262"/>
      <c r="HM65" s="262"/>
      <c r="HN65" s="262"/>
      <c r="HO65" s="262"/>
      <c r="HP65" s="262"/>
      <c r="HQ65" s="262"/>
      <c r="HR65" s="262"/>
      <c r="HS65" s="262"/>
      <c r="HT65" s="262"/>
      <c r="HU65" s="262"/>
      <c r="HV65" s="262"/>
      <c r="HW65" s="262"/>
      <c r="HX65" s="262"/>
      <c r="HY65" s="262"/>
      <c r="HZ65" s="262"/>
      <c r="IA65" s="262"/>
      <c r="IB65" s="262"/>
      <c r="IC65" s="262"/>
      <c r="ID65" s="262"/>
      <c r="IE65" s="262"/>
      <c r="IF65" s="262"/>
      <c r="IG65" s="262"/>
      <c r="IH65" s="262"/>
      <c r="II65" s="262"/>
      <c r="IJ65" s="262"/>
      <c r="IK65" s="262"/>
      <c r="IL65" s="262"/>
      <c r="IM65" s="262"/>
      <c r="IN65" s="262"/>
      <c r="IO65" s="262"/>
      <c r="IP65" s="262"/>
      <c r="IQ65" s="262"/>
      <c r="IR65" s="262"/>
      <c r="IS65" s="262"/>
      <c r="IT65" s="262"/>
      <c r="IU65" s="262"/>
      <c r="IV65" s="262"/>
      <c r="IW65" s="262"/>
      <c r="IX65" s="262"/>
      <c r="IY65" s="262"/>
      <c r="IZ65" s="262"/>
      <c r="JA65" s="262"/>
      <c r="JB65" s="262"/>
      <c r="JC65" s="262"/>
      <c r="JD65" s="262"/>
      <c r="JE65" s="262"/>
      <c r="JF65" s="262"/>
      <c r="JG65" s="262"/>
      <c r="JH65" s="262"/>
      <c r="JI65" s="262"/>
      <c r="JJ65" s="262"/>
      <c r="JK65" s="262"/>
      <c r="JL65" s="262"/>
      <c r="JM65" s="262"/>
      <c r="JN65" s="262"/>
      <c r="JO65" s="262"/>
      <c r="JP65" s="262"/>
      <c r="JQ65" s="262"/>
      <c r="JR65" s="262"/>
      <c r="JS65" s="262"/>
      <c r="JT65" s="262"/>
      <c r="JU65" s="262"/>
      <c r="JV65" s="262"/>
      <c r="JW65" s="262"/>
      <c r="JX65" s="262"/>
      <c r="JY65" s="262"/>
      <c r="JZ65" s="262"/>
      <c r="KA65" s="262"/>
      <c r="KB65" s="262"/>
      <c r="KC65" s="262"/>
      <c r="KD65" s="262"/>
      <c r="KE65" s="262"/>
      <c r="KF65" s="262"/>
      <c r="KG65" s="262"/>
      <c r="KH65" s="262"/>
      <c r="KI65" s="262"/>
      <c r="KJ65" s="262"/>
      <c r="KK65" s="262"/>
      <c r="KL65" s="262"/>
      <c r="KM65" s="262"/>
      <c r="KN65" s="262"/>
      <c r="KO65" s="262"/>
      <c r="KP65" s="262"/>
      <c r="KQ65" s="262"/>
      <c r="KR65" s="262"/>
      <c r="KS65" s="262"/>
      <c r="KT65" s="262"/>
      <c r="KU65" s="262"/>
      <c r="KV65" s="262"/>
      <c r="KW65" s="262"/>
      <c r="KX65" s="262"/>
      <c r="KY65" s="262"/>
      <c r="KZ65" s="262"/>
    </row>
    <row r="66" spans="1:312" s="85" customFormat="1" ht="50" customHeight="1">
      <c r="A66" s="263" t="s">
        <v>117</v>
      </c>
      <c r="B66" s="264"/>
      <c r="C66" s="86"/>
      <c r="D66" s="86"/>
      <c r="E66" s="60">
        <v>1503</v>
      </c>
      <c r="F66" s="86" t="e">
        <f t="shared" si="0"/>
        <v>#DIV/0!</v>
      </c>
      <c r="G66" s="87">
        <v>6</v>
      </c>
      <c r="H66" s="87">
        <v>8</v>
      </c>
      <c r="I66" s="87"/>
      <c r="J66" s="87" t="s">
        <v>217</v>
      </c>
      <c r="K66" s="89" t="s">
        <v>301</v>
      </c>
      <c r="L66" s="90" t="s">
        <v>689</v>
      </c>
      <c r="M66" s="94"/>
      <c r="N66" s="91"/>
      <c r="O66" s="91" t="s">
        <v>335</v>
      </c>
      <c r="P66" s="92"/>
      <c r="Q66" s="93" t="s">
        <v>689</v>
      </c>
      <c r="R66" s="95"/>
      <c r="S66" s="60">
        <v>1503</v>
      </c>
      <c r="T66" s="263">
        <f t="shared" si="1"/>
        <v>9018</v>
      </c>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2"/>
      <c r="CV66" s="262"/>
      <c r="CW66" s="262"/>
      <c r="CX66" s="262"/>
      <c r="CY66" s="262"/>
      <c r="CZ66" s="262"/>
      <c r="DA66" s="262"/>
      <c r="DB66" s="262"/>
      <c r="DC66" s="262"/>
      <c r="DD66" s="262"/>
      <c r="DE66" s="262"/>
      <c r="DF66" s="262"/>
      <c r="DG66" s="262"/>
      <c r="DH66" s="262"/>
      <c r="DI66" s="262"/>
      <c r="DJ66" s="262"/>
      <c r="DK66" s="262"/>
      <c r="DL66" s="262"/>
      <c r="DM66" s="262"/>
      <c r="DN66" s="262"/>
      <c r="DO66" s="262"/>
      <c r="DP66" s="262"/>
      <c r="DQ66" s="262"/>
      <c r="DR66" s="262"/>
      <c r="DS66" s="262"/>
      <c r="DT66" s="262"/>
      <c r="DU66" s="262"/>
      <c r="DV66" s="262"/>
      <c r="DW66" s="262"/>
      <c r="DX66" s="262"/>
      <c r="DY66" s="262"/>
      <c r="DZ66" s="262"/>
      <c r="EA66" s="262"/>
      <c r="EB66" s="262"/>
      <c r="EC66" s="262"/>
      <c r="ED66" s="262"/>
      <c r="EE66" s="262"/>
      <c r="EF66" s="262"/>
      <c r="EG66" s="262"/>
      <c r="EH66" s="262"/>
      <c r="EI66" s="262"/>
      <c r="EJ66" s="262"/>
      <c r="EK66" s="262"/>
      <c r="EL66" s="262"/>
      <c r="EM66" s="262"/>
      <c r="EN66" s="262"/>
      <c r="EO66" s="262"/>
      <c r="EP66" s="262"/>
      <c r="EQ66" s="262"/>
      <c r="ER66" s="262"/>
      <c r="ES66" s="262"/>
      <c r="ET66" s="262"/>
      <c r="EU66" s="262"/>
      <c r="EV66" s="262"/>
      <c r="EW66" s="262"/>
      <c r="EX66" s="262"/>
      <c r="EY66" s="262"/>
      <c r="EZ66" s="262"/>
      <c r="FA66" s="262"/>
      <c r="FB66" s="262"/>
      <c r="FC66" s="262"/>
      <c r="FD66" s="262"/>
      <c r="FE66" s="262"/>
      <c r="FF66" s="262"/>
      <c r="FG66" s="262"/>
      <c r="FH66" s="262"/>
      <c r="FI66" s="262"/>
      <c r="FJ66" s="262"/>
      <c r="FK66" s="262"/>
      <c r="FL66" s="262"/>
      <c r="FM66" s="262"/>
      <c r="FN66" s="262"/>
      <c r="FO66" s="262"/>
      <c r="FP66" s="262"/>
      <c r="FQ66" s="262"/>
      <c r="FR66" s="262"/>
      <c r="FS66" s="262"/>
      <c r="FT66" s="262"/>
      <c r="FU66" s="262"/>
      <c r="FV66" s="262"/>
      <c r="FW66" s="262"/>
      <c r="FX66" s="262"/>
      <c r="FY66" s="262"/>
      <c r="FZ66" s="262"/>
      <c r="GA66" s="262"/>
      <c r="GB66" s="262"/>
      <c r="GC66" s="262"/>
      <c r="GD66" s="262"/>
      <c r="GE66" s="262"/>
      <c r="GF66" s="262"/>
      <c r="GG66" s="262"/>
      <c r="GH66" s="262"/>
      <c r="GI66" s="262"/>
      <c r="GJ66" s="262"/>
      <c r="GK66" s="262"/>
      <c r="GL66" s="262"/>
      <c r="GM66" s="262"/>
      <c r="GN66" s="262"/>
      <c r="GO66" s="262"/>
      <c r="GP66" s="262"/>
      <c r="GQ66" s="262"/>
      <c r="GR66" s="262"/>
      <c r="GS66" s="262"/>
      <c r="GT66" s="262"/>
      <c r="GU66" s="262"/>
      <c r="GV66" s="262"/>
      <c r="GW66" s="262"/>
      <c r="GX66" s="262"/>
      <c r="GY66" s="262"/>
      <c r="GZ66" s="262"/>
      <c r="HA66" s="262"/>
      <c r="HB66" s="262"/>
      <c r="HC66" s="262"/>
      <c r="HD66" s="262"/>
      <c r="HE66" s="262"/>
      <c r="HF66" s="262"/>
      <c r="HG66" s="262"/>
      <c r="HH66" s="262"/>
      <c r="HI66" s="262"/>
      <c r="HJ66" s="262"/>
      <c r="HK66" s="262"/>
      <c r="HL66" s="262"/>
      <c r="HM66" s="262"/>
      <c r="HN66" s="262"/>
      <c r="HO66" s="262"/>
      <c r="HP66" s="262"/>
      <c r="HQ66" s="262"/>
      <c r="HR66" s="262"/>
      <c r="HS66" s="262"/>
      <c r="HT66" s="262"/>
      <c r="HU66" s="262"/>
      <c r="HV66" s="262"/>
      <c r="HW66" s="262"/>
      <c r="HX66" s="262"/>
      <c r="HY66" s="262"/>
      <c r="HZ66" s="262"/>
      <c r="IA66" s="262"/>
      <c r="IB66" s="262"/>
      <c r="IC66" s="262"/>
      <c r="ID66" s="262"/>
      <c r="IE66" s="262"/>
      <c r="IF66" s="262"/>
      <c r="IG66" s="262"/>
      <c r="IH66" s="262"/>
      <c r="II66" s="262"/>
      <c r="IJ66" s="262"/>
      <c r="IK66" s="262"/>
      <c r="IL66" s="262"/>
      <c r="IM66" s="262"/>
      <c r="IN66" s="262"/>
      <c r="IO66" s="262"/>
      <c r="IP66" s="262"/>
      <c r="IQ66" s="262"/>
      <c r="IR66" s="262"/>
      <c r="IS66" s="262"/>
      <c r="IT66" s="262"/>
      <c r="IU66" s="262"/>
      <c r="IV66" s="262"/>
      <c r="IW66" s="262"/>
      <c r="IX66" s="262"/>
      <c r="IY66" s="262"/>
      <c r="IZ66" s="262"/>
      <c r="JA66" s="262"/>
      <c r="JB66" s="262"/>
      <c r="JC66" s="262"/>
      <c r="JD66" s="262"/>
      <c r="JE66" s="262"/>
      <c r="JF66" s="262"/>
      <c r="JG66" s="262"/>
      <c r="JH66" s="262"/>
      <c r="JI66" s="262"/>
      <c r="JJ66" s="262"/>
      <c r="JK66" s="262"/>
      <c r="JL66" s="262"/>
      <c r="JM66" s="262"/>
      <c r="JN66" s="262"/>
      <c r="JO66" s="262"/>
      <c r="JP66" s="262"/>
      <c r="JQ66" s="262"/>
      <c r="JR66" s="262"/>
      <c r="JS66" s="262"/>
      <c r="JT66" s="262"/>
      <c r="JU66" s="262"/>
      <c r="JV66" s="262"/>
      <c r="JW66" s="262"/>
      <c r="JX66" s="262"/>
      <c r="JY66" s="262"/>
      <c r="JZ66" s="262"/>
      <c r="KA66" s="262"/>
      <c r="KB66" s="262"/>
      <c r="KC66" s="262"/>
      <c r="KD66" s="262"/>
      <c r="KE66" s="262"/>
      <c r="KF66" s="262"/>
      <c r="KG66" s="262"/>
      <c r="KH66" s="262"/>
      <c r="KI66" s="262"/>
      <c r="KJ66" s="262"/>
      <c r="KK66" s="262"/>
      <c r="KL66" s="262"/>
      <c r="KM66" s="262"/>
      <c r="KN66" s="262"/>
      <c r="KO66" s="262"/>
      <c r="KP66" s="262"/>
      <c r="KQ66" s="262"/>
      <c r="KR66" s="262"/>
      <c r="KS66" s="262"/>
      <c r="KT66" s="262"/>
      <c r="KU66" s="262"/>
      <c r="KV66" s="262"/>
      <c r="KW66" s="262"/>
      <c r="KX66" s="262"/>
      <c r="KY66" s="262"/>
      <c r="KZ66" s="262"/>
    </row>
    <row r="67" spans="1:312" s="85" customFormat="1" ht="50" customHeight="1">
      <c r="A67" s="263" t="s">
        <v>154</v>
      </c>
      <c r="B67" s="264"/>
      <c r="C67" s="86"/>
      <c r="D67" s="86"/>
      <c r="E67" s="60">
        <v>1599</v>
      </c>
      <c r="F67" s="86" t="e">
        <f t="shared" ref="F67:F130" si="2">C67/D67</f>
        <v>#DIV/0!</v>
      </c>
      <c r="G67" s="87">
        <v>6</v>
      </c>
      <c r="H67" s="87">
        <v>8</v>
      </c>
      <c r="I67" s="87"/>
      <c r="J67" s="87" t="s">
        <v>217</v>
      </c>
      <c r="K67" s="89" t="s">
        <v>403</v>
      </c>
      <c r="L67" s="90" t="s">
        <v>689</v>
      </c>
      <c r="M67" s="94"/>
      <c r="N67" s="91" t="s">
        <v>335</v>
      </c>
      <c r="O67" s="91" t="s">
        <v>335</v>
      </c>
      <c r="P67" s="92"/>
      <c r="Q67" s="93" t="s">
        <v>689</v>
      </c>
      <c r="R67" s="95"/>
      <c r="S67" s="60">
        <v>1599</v>
      </c>
      <c r="T67" s="263">
        <f t="shared" si="1"/>
        <v>9594</v>
      </c>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2"/>
      <c r="CV67" s="262"/>
      <c r="CW67" s="262"/>
      <c r="CX67" s="262"/>
      <c r="CY67" s="262"/>
      <c r="CZ67" s="262"/>
      <c r="DA67" s="262"/>
      <c r="DB67" s="262"/>
      <c r="DC67" s="262"/>
      <c r="DD67" s="262"/>
      <c r="DE67" s="262"/>
      <c r="DF67" s="262"/>
      <c r="DG67" s="262"/>
      <c r="DH67" s="262"/>
      <c r="DI67" s="262"/>
      <c r="DJ67" s="262"/>
      <c r="DK67" s="262"/>
      <c r="DL67" s="262"/>
      <c r="DM67" s="262"/>
      <c r="DN67" s="262"/>
      <c r="DO67" s="262"/>
      <c r="DP67" s="262"/>
      <c r="DQ67" s="262"/>
      <c r="DR67" s="262"/>
      <c r="DS67" s="262"/>
      <c r="DT67" s="262"/>
      <c r="DU67" s="262"/>
      <c r="DV67" s="262"/>
      <c r="DW67" s="262"/>
      <c r="DX67" s="262"/>
      <c r="DY67" s="262"/>
      <c r="DZ67" s="262"/>
      <c r="EA67" s="262"/>
      <c r="EB67" s="262"/>
      <c r="EC67" s="262"/>
      <c r="ED67" s="262"/>
      <c r="EE67" s="262"/>
      <c r="EF67" s="262"/>
      <c r="EG67" s="262"/>
      <c r="EH67" s="262"/>
      <c r="EI67" s="262"/>
      <c r="EJ67" s="262"/>
      <c r="EK67" s="262"/>
      <c r="EL67" s="262"/>
      <c r="EM67" s="262"/>
      <c r="EN67" s="262"/>
      <c r="EO67" s="262"/>
      <c r="EP67" s="262"/>
      <c r="EQ67" s="262"/>
      <c r="ER67" s="262"/>
      <c r="ES67" s="262"/>
      <c r="ET67" s="262"/>
      <c r="EU67" s="262"/>
      <c r="EV67" s="262"/>
      <c r="EW67" s="262"/>
      <c r="EX67" s="262"/>
      <c r="EY67" s="262"/>
      <c r="EZ67" s="262"/>
      <c r="FA67" s="262"/>
      <c r="FB67" s="262"/>
      <c r="FC67" s="262"/>
      <c r="FD67" s="262"/>
      <c r="FE67" s="262"/>
      <c r="FF67" s="262"/>
      <c r="FG67" s="262"/>
      <c r="FH67" s="262"/>
      <c r="FI67" s="262"/>
      <c r="FJ67" s="262"/>
      <c r="FK67" s="262"/>
      <c r="FL67" s="262"/>
      <c r="FM67" s="262"/>
      <c r="FN67" s="262"/>
      <c r="FO67" s="262"/>
      <c r="FP67" s="262"/>
      <c r="FQ67" s="262"/>
      <c r="FR67" s="262"/>
      <c r="FS67" s="262"/>
      <c r="FT67" s="262"/>
      <c r="FU67" s="262"/>
      <c r="FV67" s="262"/>
      <c r="FW67" s="262"/>
      <c r="FX67" s="262"/>
      <c r="FY67" s="262"/>
      <c r="FZ67" s="262"/>
      <c r="GA67" s="262"/>
      <c r="GB67" s="262"/>
      <c r="GC67" s="262"/>
      <c r="GD67" s="262"/>
      <c r="GE67" s="262"/>
      <c r="GF67" s="262"/>
      <c r="GG67" s="262"/>
      <c r="GH67" s="262"/>
      <c r="GI67" s="262"/>
      <c r="GJ67" s="262"/>
      <c r="GK67" s="262"/>
      <c r="GL67" s="262"/>
      <c r="GM67" s="262"/>
      <c r="GN67" s="262"/>
      <c r="GO67" s="262"/>
      <c r="GP67" s="262"/>
      <c r="GQ67" s="262"/>
      <c r="GR67" s="262"/>
      <c r="GS67" s="262"/>
      <c r="GT67" s="262"/>
      <c r="GU67" s="262"/>
      <c r="GV67" s="262"/>
      <c r="GW67" s="262"/>
      <c r="GX67" s="262"/>
      <c r="GY67" s="262"/>
      <c r="GZ67" s="262"/>
      <c r="HA67" s="262"/>
      <c r="HB67" s="262"/>
      <c r="HC67" s="262"/>
      <c r="HD67" s="262"/>
      <c r="HE67" s="262"/>
      <c r="HF67" s="262"/>
      <c r="HG67" s="262"/>
      <c r="HH67" s="262"/>
      <c r="HI67" s="262"/>
      <c r="HJ67" s="262"/>
      <c r="HK67" s="262"/>
      <c r="HL67" s="262"/>
      <c r="HM67" s="262"/>
      <c r="HN67" s="262"/>
      <c r="HO67" s="262"/>
      <c r="HP67" s="262"/>
      <c r="HQ67" s="262"/>
      <c r="HR67" s="262"/>
      <c r="HS67" s="262"/>
      <c r="HT67" s="262"/>
      <c r="HU67" s="262"/>
      <c r="HV67" s="262"/>
      <c r="HW67" s="262"/>
      <c r="HX67" s="262"/>
      <c r="HY67" s="262"/>
      <c r="HZ67" s="262"/>
      <c r="IA67" s="262"/>
      <c r="IB67" s="262"/>
      <c r="IC67" s="262"/>
      <c r="ID67" s="262"/>
      <c r="IE67" s="262"/>
      <c r="IF67" s="262"/>
      <c r="IG67" s="262"/>
      <c r="IH67" s="262"/>
      <c r="II67" s="262"/>
      <c r="IJ67" s="262"/>
      <c r="IK67" s="262"/>
      <c r="IL67" s="262"/>
      <c r="IM67" s="262"/>
      <c r="IN67" s="262"/>
      <c r="IO67" s="262"/>
      <c r="IP67" s="262"/>
      <c r="IQ67" s="262"/>
      <c r="IR67" s="262"/>
      <c r="IS67" s="262"/>
      <c r="IT67" s="262"/>
      <c r="IU67" s="262"/>
      <c r="IV67" s="262"/>
      <c r="IW67" s="262"/>
      <c r="IX67" s="262"/>
      <c r="IY67" s="262"/>
      <c r="IZ67" s="262"/>
      <c r="JA67" s="262"/>
      <c r="JB67" s="262"/>
      <c r="JC67" s="262"/>
      <c r="JD67" s="262"/>
      <c r="JE67" s="262"/>
      <c r="JF67" s="262"/>
      <c r="JG67" s="262"/>
      <c r="JH67" s="262"/>
      <c r="JI67" s="262"/>
      <c r="JJ67" s="262"/>
      <c r="JK67" s="262"/>
      <c r="JL67" s="262"/>
      <c r="JM67" s="262"/>
      <c r="JN67" s="262"/>
      <c r="JO67" s="262"/>
      <c r="JP67" s="262"/>
      <c r="JQ67" s="262"/>
      <c r="JR67" s="262"/>
      <c r="JS67" s="262"/>
      <c r="JT67" s="262"/>
      <c r="JU67" s="262"/>
      <c r="JV67" s="262"/>
      <c r="JW67" s="262"/>
      <c r="JX67" s="262"/>
      <c r="JY67" s="262"/>
      <c r="JZ67" s="262"/>
      <c r="KA67" s="262"/>
      <c r="KB67" s="262"/>
      <c r="KC67" s="262"/>
      <c r="KD67" s="262"/>
      <c r="KE67" s="262"/>
      <c r="KF67" s="262"/>
      <c r="KG67" s="262"/>
      <c r="KH67" s="262"/>
      <c r="KI67" s="262"/>
      <c r="KJ67" s="262"/>
      <c r="KK67" s="262"/>
      <c r="KL67" s="262"/>
      <c r="KM67" s="262"/>
      <c r="KN67" s="262"/>
      <c r="KO67" s="262"/>
      <c r="KP67" s="262"/>
      <c r="KQ67" s="262"/>
      <c r="KR67" s="262"/>
      <c r="KS67" s="262"/>
      <c r="KT67" s="262"/>
      <c r="KU67" s="262"/>
      <c r="KV67" s="262"/>
      <c r="KW67" s="262"/>
      <c r="KX67" s="262"/>
      <c r="KY67" s="262"/>
      <c r="KZ67" s="262"/>
    </row>
    <row r="68" spans="1:312" s="85" customFormat="1" ht="50" customHeight="1">
      <c r="A68" s="263" t="s">
        <v>454</v>
      </c>
      <c r="B68" s="264"/>
      <c r="C68" s="86"/>
      <c r="D68" s="86"/>
      <c r="E68" s="60">
        <v>68</v>
      </c>
      <c r="F68" s="86" t="e">
        <f t="shared" si="2"/>
        <v>#DIV/0!</v>
      </c>
      <c r="G68" s="87">
        <v>6</v>
      </c>
      <c r="H68" s="87">
        <v>8</v>
      </c>
      <c r="I68" s="87"/>
      <c r="J68" s="264" t="s">
        <v>217</v>
      </c>
      <c r="K68" s="265" t="s">
        <v>455</v>
      </c>
      <c r="L68" s="98"/>
      <c r="M68" s="98"/>
      <c r="N68" s="99"/>
      <c r="O68" s="99" t="s">
        <v>335</v>
      </c>
      <c r="P68" s="266"/>
      <c r="Q68" s="93" t="s">
        <v>689</v>
      </c>
      <c r="R68" s="93"/>
      <c r="S68" s="60">
        <v>68</v>
      </c>
      <c r="T68" s="263">
        <f t="shared" si="1"/>
        <v>408</v>
      </c>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2"/>
      <c r="CV68" s="262"/>
      <c r="CW68" s="262"/>
      <c r="CX68" s="262"/>
      <c r="CY68" s="262"/>
      <c r="CZ68" s="262"/>
      <c r="DA68" s="262"/>
      <c r="DB68" s="262"/>
      <c r="DC68" s="262"/>
      <c r="DD68" s="262"/>
      <c r="DE68" s="262"/>
      <c r="DF68" s="262"/>
      <c r="DG68" s="262"/>
      <c r="DH68" s="262"/>
      <c r="DI68" s="262"/>
      <c r="DJ68" s="262"/>
      <c r="DK68" s="262"/>
      <c r="DL68" s="262"/>
      <c r="DM68" s="262"/>
      <c r="DN68" s="262"/>
      <c r="DO68" s="262"/>
      <c r="DP68" s="262"/>
      <c r="DQ68" s="262"/>
      <c r="DR68" s="262"/>
      <c r="DS68" s="262"/>
      <c r="DT68" s="262"/>
      <c r="DU68" s="262"/>
      <c r="DV68" s="262"/>
      <c r="DW68" s="262"/>
      <c r="DX68" s="262"/>
      <c r="DY68" s="262"/>
      <c r="DZ68" s="262"/>
      <c r="EA68" s="262"/>
      <c r="EB68" s="262"/>
      <c r="EC68" s="262"/>
      <c r="ED68" s="262"/>
      <c r="EE68" s="262"/>
      <c r="EF68" s="262"/>
      <c r="EG68" s="262"/>
      <c r="EH68" s="262"/>
      <c r="EI68" s="262"/>
      <c r="EJ68" s="262"/>
      <c r="EK68" s="262"/>
      <c r="EL68" s="262"/>
      <c r="EM68" s="262"/>
      <c r="EN68" s="262"/>
      <c r="EO68" s="262"/>
      <c r="EP68" s="262"/>
      <c r="EQ68" s="262"/>
      <c r="ER68" s="262"/>
      <c r="ES68" s="262"/>
      <c r="ET68" s="262"/>
      <c r="EU68" s="262"/>
      <c r="EV68" s="262"/>
      <c r="EW68" s="262"/>
      <c r="EX68" s="262"/>
      <c r="EY68" s="262"/>
      <c r="EZ68" s="262"/>
      <c r="FA68" s="262"/>
      <c r="FB68" s="262"/>
      <c r="FC68" s="262"/>
      <c r="FD68" s="262"/>
      <c r="FE68" s="262"/>
      <c r="FF68" s="262"/>
      <c r="FG68" s="262"/>
      <c r="FH68" s="262"/>
      <c r="FI68" s="262"/>
      <c r="FJ68" s="262"/>
      <c r="FK68" s="262"/>
      <c r="FL68" s="262"/>
      <c r="FM68" s="262"/>
      <c r="FN68" s="262"/>
      <c r="FO68" s="262"/>
      <c r="FP68" s="262"/>
      <c r="FQ68" s="262"/>
      <c r="FR68" s="262"/>
      <c r="FS68" s="262"/>
      <c r="FT68" s="262"/>
      <c r="FU68" s="262"/>
      <c r="FV68" s="262"/>
      <c r="FW68" s="262"/>
      <c r="FX68" s="262"/>
      <c r="FY68" s="262"/>
      <c r="FZ68" s="262"/>
      <c r="GA68" s="262"/>
      <c r="GB68" s="262"/>
      <c r="GC68" s="262"/>
      <c r="GD68" s="262"/>
      <c r="GE68" s="262"/>
      <c r="GF68" s="262"/>
      <c r="GG68" s="262"/>
      <c r="GH68" s="262"/>
      <c r="GI68" s="262"/>
      <c r="GJ68" s="262"/>
      <c r="GK68" s="262"/>
      <c r="GL68" s="262"/>
      <c r="GM68" s="262"/>
      <c r="GN68" s="262"/>
      <c r="GO68" s="262"/>
      <c r="GP68" s="262"/>
      <c r="GQ68" s="262"/>
      <c r="GR68" s="262"/>
      <c r="GS68" s="262"/>
      <c r="GT68" s="262"/>
      <c r="GU68" s="262"/>
      <c r="GV68" s="262"/>
      <c r="GW68" s="262"/>
      <c r="GX68" s="262"/>
      <c r="GY68" s="262"/>
      <c r="GZ68" s="262"/>
      <c r="HA68" s="262"/>
      <c r="HB68" s="262"/>
      <c r="HC68" s="262"/>
      <c r="HD68" s="262"/>
      <c r="HE68" s="262"/>
      <c r="HF68" s="262"/>
      <c r="HG68" s="262"/>
      <c r="HH68" s="262"/>
      <c r="HI68" s="262"/>
      <c r="HJ68" s="262"/>
      <c r="HK68" s="262"/>
      <c r="HL68" s="262"/>
      <c r="HM68" s="262"/>
      <c r="HN68" s="262"/>
      <c r="HO68" s="262"/>
      <c r="HP68" s="262"/>
      <c r="HQ68" s="262"/>
      <c r="HR68" s="262"/>
      <c r="HS68" s="262"/>
      <c r="HT68" s="262"/>
      <c r="HU68" s="262"/>
      <c r="HV68" s="262"/>
      <c r="HW68" s="262"/>
      <c r="HX68" s="262"/>
      <c r="HY68" s="262"/>
      <c r="HZ68" s="262"/>
      <c r="IA68" s="262"/>
      <c r="IB68" s="262"/>
      <c r="IC68" s="262"/>
      <c r="ID68" s="262"/>
      <c r="IE68" s="262"/>
      <c r="IF68" s="262"/>
      <c r="IG68" s="262"/>
      <c r="IH68" s="262"/>
      <c r="II68" s="262"/>
      <c r="IJ68" s="262"/>
      <c r="IK68" s="262"/>
      <c r="IL68" s="262"/>
      <c r="IM68" s="262"/>
      <c r="IN68" s="262"/>
      <c r="IO68" s="262"/>
      <c r="IP68" s="262"/>
      <c r="IQ68" s="262"/>
      <c r="IR68" s="262"/>
      <c r="IS68" s="262"/>
      <c r="IT68" s="262"/>
      <c r="IU68" s="262"/>
      <c r="IV68" s="262"/>
      <c r="IW68" s="262"/>
      <c r="IX68" s="262"/>
      <c r="IY68" s="262"/>
      <c r="IZ68" s="262"/>
      <c r="JA68" s="262"/>
      <c r="JB68" s="262"/>
      <c r="JC68" s="262"/>
      <c r="JD68" s="262"/>
      <c r="JE68" s="262"/>
      <c r="JF68" s="262"/>
      <c r="JG68" s="262"/>
      <c r="JH68" s="262"/>
      <c r="JI68" s="262"/>
      <c r="JJ68" s="262"/>
      <c r="JK68" s="262"/>
      <c r="JL68" s="262"/>
      <c r="JM68" s="262"/>
      <c r="JN68" s="262"/>
      <c r="JO68" s="262"/>
      <c r="JP68" s="262"/>
      <c r="JQ68" s="262"/>
      <c r="JR68" s="262"/>
      <c r="JS68" s="262"/>
      <c r="JT68" s="262"/>
      <c r="JU68" s="262"/>
      <c r="JV68" s="262"/>
      <c r="JW68" s="262"/>
      <c r="JX68" s="262"/>
      <c r="JY68" s="262"/>
      <c r="JZ68" s="262"/>
      <c r="KA68" s="262"/>
      <c r="KB68" s="262"/>
      <c r="KC68" s="262"/>
      <c r="KD68" s="262"/>
      <c r="KE68" s="262"/>
      <c r="KF68" s="262"/>
      <c r="KG68" s="262"/>
      <c r="KH68" s="262"/>
      <c r="KI68" s="262"/>
      <c r="KJ68" s="262"/>
      <c r="KK68" s="262"/>
      <c r="KL68" s="262"/>
      <c r="KM68" s="262"/>
      <c r="KN68" s="262"/>
      <c r="KO68" s="262"/>
      <c r="KP68" s="262"/>
      <c r="KQ68" s="262"/>
      <c r="KR68" s="262"/>
      <c r="KS68" s="262"/>
      <c r="KT68" s="262"/>
      <c r="KU68" s="262"/>
      <c r="KV68" s="262"/>
      <c r="KW68" s="262"/>
      <c r="KX68" s="262"/>
      <c r="KY68" s="262"/>
      <c r="KZ68" s="262"/>
    </row>
    <row r="69" spans="1:312" s="85" customFormat="1" ht="50" customHeight="1">
      <c r="A69" s="263" t="s">
        <v>459</v>
      </c>
      <c r="B69" s="264"/>
      <c r="C69" s="86"/>
      <c r="D69" s="86"/>
      <c r="E69" s="60">
        <v>68</v>
      </c>
      <c r="F69" s="86" t="e">
        <f t="shared" si="2"/>
        <v>#DIV/0!</v>
      </c>
      <c r="G69" s="87">
        <v>6</v>
      </c>
      <c r="H69" s="87">
        <v>8</v>
      </c>
      <c r="I69" s="87"/>
      <c r="J69" s="264" t="s">
        <v>217</v>
      </c>
      <c r="K69" s="265" t="s">
        <v>460</v>
      </c>
      <c r="L69" s="98"/>
      <c r="M69" s="98"/>
      <c r="N69" s="99"/>
      <c r="O69" s="99" t="s">
        <v>335</v>
      </c>
      <c r="P69" s="266"/>
      <c r="Q69" s="93" t="s">
        <v>689</v>
      </c>
      <c r="R69" s="93"/>
      <c r="S69" s="60">
        <v>68</v>
      </c>
      <c r="T69" s="263">
        <f t="shared" si="1"/>
        <v>408</v>
      </c>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262"/>
      <c r="BT69" s="262"/>
      <c r="BU69" s="262"/>
      <c r="BV69" s="262"/>
      <c r="BW69" s="262"/>
      <c r="BX69" s="262"/>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2"/>
      <c r="CV69" s="262"/>
      <c r="CW69" s="262"/>
      <c r="CX69" s="262"/>
      <c r="CY69" s="262"/>
      <c r="CZ69" s="262"/>
      <c r="DA69" s="262"/>
      <c r="DB69" s="262"/>
      <c r="DC69" s="262"/>
      <c r="DD69" s="262"/>
      <c r="DE69" s="262"/>
      <c r="DF69" s="262"/>
      <c r="DG69" s="262"/>
      <c r="DH69" s="262"/>
      <c r="DI69" s="262"/>
      <c r="DJ69" s="262"/>
      <c r="DK69" s="262"/>
      <c r="DL69" s="262"/>
      <c r="DM69" s="262"/>
      <c r="DN69" s="262"/>
      <c r="DO69" s="262"/>
      <c r="DP69" s="262"/>
      <c r="DQ69" s="262"/>
      <c r="DR69" s="262"/>
      <c r="DS69" s="262"/>
      <c r="DT69" s="262"/>
      <c r="DU69" s="262"/>
      <c r="DV69" s="262"/>
      <c r="DW69" s="262"/>
      <c r="DX69" s="262"/>
      <c r="DY69" s="262"/>
      <c r="DZ69" s="262"/>
      <c r="EA69" s="262"/>
      <c r="EB69" s="262"/>
      <c r="EC69" s="262"/>
      <c r="ED69" s="262"/>
      <c r="EE69" s="262"/>
      <c r="EF69" s="262"/>
      <c r="EG69" s="262"/>
      <c r="EH69" s="262"/>
      <c r="EI69" s="262"/>
      <c r="EJ69" s="262"/>
      <c r="EK69" s="262"/>
      <c r="EL69" s="262"/>
      <c r="EM69" s="262"/>
      <c r="EN69" s="262"/>
      <c r="EO69" s="262"/>
      <c r="EP69" s="262"/>
      <c r="EQ69" s="262"/>
      <c r="ER69" s="262"/>
      <c r="ES69" s="262"/>
      <c r="ET69" s="262"/>
      <c r="EU69" s="262"/>
      <c r="EV69" s="262"/>
      <c r="EW69" s="262"/>
      <c r="EX69" s="262"/>
      <c r="EY69" s="262"/>
      <c r="EZ69" s="262"/>
      <c r="FA69" s="262"/>
      <c r="FB69" s="262"/>
      <c r="FC69" s="262"/>
      <c r="FD69" s="262"/>
      <c r="FE69" s="262"/>
      <c r="FF69" s="262"/>
      <c r="FG69" s="262"/>
      <c r="FH69" s="262"/>
      <c r="FI69" s="262"/>
      <c r="FJ69" s="262"/>
      <c r="FK69" s="262"/>
      <c r="FL69" s="262"/>
      <c r="FM69" s="262"/>
      <c r="FN69" s="262"/>
      <c r="FO69" s="262"/>
      <c r="FP69" s="262"/>
      <c r="FQ69" s="262"/>
      <c r="FR69" s="262"/>
      <c r="FS69" s="262"/>
      <c r="FT69" s="262"/>
      <c r="FU69" s="262"/>
      <c r="FV69" s="262"/>
      <c r="FW69" s="262"/>
      <c r="FX69" s="262"/>
      <c r="FY69" s="262"/>
      <c r="FZ69" s="262"/>
      <c r="GA69" s="262"/>
      <c r="GB69" s="262"/>
      <c r="GC69" s="262"/>
      <c r="GD69" s="262"/>
      <c r="GE69" s="262"/>
      <c r="GF69" s="262"/>
      <c r="GG69" s="262"/>
      <c r="GH69" s="262"/>
      <c r="GI69" s="262"/>
      <c r="GJ69" s="262"/>
      <c r="GK69" s="262"/>
      <c r="GL69" s="262"/>
      <c r="GM69" s="262"/>
      <c r="GN69" s="262"/>
      <c r="GO69" s="262"/>
      <c r="GP69" s="262"/>
      <c r="GQ69" s="262"/>
      <c r="GR69" s="262"/>
      <c r="GS69" s="262"/>
      <c r="GT69" s="262"/>
      <c r="GU69" s="262"/>
      <c r="GV69" s="262"/>
      <c r="GW69" s="262"/>
      <c r="GX69" s="262"/>
      <c r="GY69" s="262"/>
      <c r="GZ69" s="262"/>
      <c r="HA69" s="262"/>
      <c r="HB69" s="262"/>
      <c r="HC69" s="262"/>
      <c r="HD69" s="262"/>
      <c r="HE69" s="262"/>
      <c r="HF69" s="262"/>
      <c r="HG69" s="262"/>
      <c r="HH69" s="262"/>
      <c r="HI69" s="262"/>
      <c r="HJ69" s="262"/>
      <c r="HK69" s="262"/>
      <c r="HL69" s="262"/>
      <c r="HM69" s="262"/>
      <c r="HN69" s="262"/>
      <c r="HO69" s="262"/>
      <c r="HP69" s="262"/>
      <c r="HQ69" s="262"/>
      <c r="HR69" s="262"/>
      <c r="HS69" s="262"/>
      <c r="HT69" s="262"/>
      <c r="HU69" s="262"/>
      <c r="HV69" s="262"/>
      <c r="HW69" s="262"/>
      <c r="HX69" s="262"/>
      <c r="HY69" s="262"/>
      <c r="HZ69" s="262"/>
      <c r="IA69" s="262"/>
      <c r="IB69" s="262"/>
      <c r="IC69" s="262"/>
      <c r="ID69" s="262"/>
      <c r="IE69" s="262"/>
      <c r="IF69" s="262"/>
      <c r="IG69" s="262"/>
      <c r="IH69" s="262"/>
      <c r="II69" s="262"/>
      <c r="IJ69" s="262"/>
      <c r="IK69" s="262"/>
      <c r="IL69" s="262"/>
      <c r="IM69" s="262"/>
      <c r="IN69" s="262"/>
      <c r="IO69" s="262"/>
      <c r="IP69" s="262"/>
      <c r="IQ69" s="262"/>
      <c r="IR69" s="262"/>
      <c r="IS69" s="262"/>
      <c r="IT69" s="262"/>
      <c r="IU69" s="262"/>
      <c r="IV69" s="262"/>
      <c r="IW69" s="262"/>
      <c r="IX69" s="262"/>
      <c r="IY69" s="262"/>
      <c r="IZ69" s="262"/>
      <c r="JA69" s="262"/>
      <c r="JB69" s="262"/>
      <c r="JC69" s="262"/>
      <c r="JD69" s="262"/>
      <c r="JE69" s="262"/>
      <c r="JF69" s="262"/>
      <c r="JG69" s="262"/>
      <c r="JH69" s="262"/>
      <c r="JI69" s="262"/>
      <c r="JJ69" s="262"/>
      <c r="JK69" s="262"/>
      <c r="JL69" s="262"/>
      <c r="JM69" s="262"/>
      <c r="JN69" s="262"/>
      <c r="JO69" s="262"/>
      <c r="JP69" s="262"/>
      <c r="JQ69" s="262"/>
      <c r="JR69" s="262"/>
      <c r="JS69" s="262"/>
      <c r="JT69" s="262"/>
      <c r="JU69" s="262"/>
      <c r="JV69" s="262"/>
      <c r="JW69" s="262"/>
      <c r="JX69" s="262"/>
      <c r="JY69" s="262"/>
      <c r="JZ69" s="262"/>
      <c r="KA69" s="262"/>
      <c r="KB69" s="262"/>
      <c r="KC69" s="262"/>
      <c r="KD69" s="262"/>
      <c r="KE69" s="262"/>
      <c r="KF69" s="262"/>
      <c r="KG69" s="262"/>
      <c r="KH69" s="262"/>
      <c r="KI69" s="262"/>
      <c r="KJ69" s="262"/>
      <c r="KK69" s="262"/>
      <c r="KL69" s="262"/>
      <c r="KM69" s="262"/>
      <c r="KN69" s="262"/>
      <c r="KO69" s="262"/>
      <c r="KP69" s="262"/>
      <c r="KQ69" s="262"/>
      <c r="KR69" s="262"/>
      <c r="KS69" s="262"/>
      <c r="KT69" s="262"/>
      <c r="KU69" s="262"/>
      <c r="KV69" s="262"/>
      <c r="KW69" s="262"/>
      <c r="KX69" s="262"/>
      <c r="KY69" s="262"/>
      <c r="KZ69" s="262"/>
    </row>
    <row r="70" spans="1:312" s="85" customFormat="1" ht="50" customHeight="1">
      <c r="A70" s="263" t="s">
        <v>226</v>
      </c>
      <c r="B70" s="264"/>
      <c r="C70" s="86"/>
      <c r="D70" s="86"/>
      <c r="E70" s="60">
        <v>68</v>
      </c>
      <c r="F70" s="86" t="e">
        <f t="shared" si="2"/>
        <v>#DIV/0!</v>
      </c>
      <c r="G70" s="87">
        <v>6</v>
      </c>
      <c r="H70" s="87">
        <v>8</v>
      </c>
      <c r="I70" s="87"/>
      <c r="J70" s="87" t="s">
        <v>217</v>
      </c>
      <c r="K70" s="89" t="s">
        <v>227</v>
      </c>
      <c r="L70" s="94"/>
      <c r="M70" s="94"/>
      <c r="N70" s="91"/>
      <c r="O70" s="91" t="s">
        <v>335</v>
      </c>
      <c r="P70" s="92"/>
      <c r="Q70" s="93" t="s">
        <v>689</v>
      </c>
      <c r="R70" s="95"/>
      <c r="S70" s="60">
        <v>68</v>
      </c>
      <c r="T70" s="263">
        <f t="shared" si="1"/>
        <v>408</v>
      </c>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262"/>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2"/>
      <c r="CV70" s="262"/>
      <c r="CW70" s="262"/>
      <c r="CX70" s="262"/>
      <c r="CY70" s="262"/>
      <c r="CZ70" s="262"/>
      <c r="DA70" s="262"/>
      <c r="DB70" s="262"/>
      <c r="DC70" s="262"/>
      <c r="DD70" s="262"/>
      <c r="DE70" s="262"/>
      <c r="DF70" s="262"/>
      <c r="DG70" s="262"/>
      <c r="DH70" s="262"/>
      <c r="DI70" s="262"/>
      <c r="DJ70" s="262"/>
      <c r="DK70" s="262"/>
      <c r="DL70" s="262"/>
      <c r="DM70" s="262"/>
      <c r="DN70" s="262"/>
      <c r="DO70" s="262"/>
      <c r="DP70" s="262"/>
      <c r="DQ70" s="262"/>
      <c r="DR70" s="262"/>
      <c r="DS70" s="262"/>
      <c r="DT70" s="262"/>
      <c r="DU70" s="262"/>
      <c r="DV70" s="262"/>
      <c r="DW70" s="262"/>
      <c r="DX70" s="262"/>
      <c r="DY70" s="262"/>
      <c r="DZ70" s="262"/>
      <c r="EA70" s="262"/>
      <c r="EB70" s="262"/>
      <c r="EC70" s="262"/>
      <c r="ED70" s="262"/>
      <c r="EE70" s="262"/>
      <c r="EF70" s="262"/>
      <c r="EG70" s="262"/>
      <c r="EH70" s="262"/>
      <c r="EI70" s="262"/>
      <c r="EJ70" s="262"/>
      <c r="EK70" s="262"/>
      <c r="EL70" s="262"/>
      <c r="EM70" s="262"/>
      <c r="EN70" s="262"/>
      <c r="EO70" s="262"/>
      <c r="EP70" s="262"/>
      <c r="EQ70" s="262"/>
      <c r="ER70" s="262"/>
      <c r="ES70" s="262"/>
      <c r="ET70" s="262"/>
      <c r="EU70" s="262"/>
      <c r="EV70" s="262"/>
      <c r="EW70" s="262"/>
      <c r="EX70" s="262"/>
      <c r="EY70" s="262"/>
      <c r="EZ70" s="262"/>
      <c r="FA70" s="262"/>
      <c r="FB70" s="262"/>
      <c r="FC70" s="262"/>
      <c r="FD70" s="262"/>
      <c r="FE70" s="262"/>
      <c r="FF70" s="262"/>
      <c r="FG70" s="262"/>
      <c r="FH70" s="262"/>
      <c r="FI70" s="262"/>
      <c r="FJ70" s="262"/>
      <c r="FK70" s="262"/>
      <c r="FL70" s="262"/>
      <c r="FM70" s="262"/>
      <c r="FN70" s="262"/>
      <c r="FO70" s="262"/>
      <c r="FP70" s="262"/>
      <c r="FQ70" s="262"/>
      <c r="FR70" s="262"/>
      <c r="FS70" s="262"/>
      <c r="FT70" s="262"/>
      <c r="FU70" s="262"/>
      <c r="FV70" s="262"/>
      <c r="FW70" s="262"/>
      <c r="FX70" s="262"/>
      <c r="FY70" s="262"/>
      <c r="FZ70" s="262"/>
      <c r="GA70" s="262"/>
      <c r="GB70" s="262"/>
      <c r="GC70" s="262"/>
      <c r="GD70" s="262"/>
      <c r="GE70" s="262"/>
      <c r="GF70" s="262"/>
      <c r="GG70" s="262"/>
      <c r="GH70" s="262"/>
      <c r="GI70" s="262"/>
      <c r="GJ70" s="262"/>
      <c r="GK70" s="262"/>
      <c r="GL70" s="262"/>
      <c r="GM70" s="262"/>
      <c r="GN70" s="262"/>
      <c r="GO70" s="262"/>
      <c r="GP70" s="262"/>
      <c r="GQ70" s="262"/>
      <c r="GR70" s="262"/>
      <c r="GS70" s="262"/>
      <c r="GT70" s="262"/>
      <c r="GU70" s="262"/>
      <c r="GV70" s="262"/>
      <c r="GW70" s="262"/>
      <c r="GX70" s="262"/>
      <c r="GY70" s="262"/>
      <c r="GZ70" s="262"/>
      <c r="HA70" s="262"/>
      <c r="HB70" s="262"/>
      <c r="HC70" s="262"/>
      <c r="HD70" s="262"/>
      <c r="HE70" s="262"/>
      <c r="HF70" s="262"/>
      <c r="HG70" s="262"/>
      <c r="HH70" s="262"/>
      <c r="HI70" s="262"/>
      <c r="HJ70" s="262"/>
      <c r="HK70" s="262"/>
      <c r="HL70" s="262"/>
      <c r="HM70" s="262"/>
      <c r="HN70" s="262"/>
      <c r="HO70" s="262"/>
      <c r="HP70" s="262"/>
      <c r="HQ70" s="262"/>
      <c r="HR70" s="262"/>
      <c r="HS70" s="262"/>
      <c r="HT70" s="262"/>
      <c r="HU70" s="262"/>
      <c r="HV70" s="262"/>
      <c r="HW70" s="262"/>
      <c r="HX70" s="262"/>
      <c r="HY70" s="262"/>
      <c r="HZ70" s="262"/>
      <c r="IA70" s="262"/>
      <c r="IB70" s="262"/>
      <c r="IC70" s="262"/>
      <c r="ID70" s="262"/>
      <c r="IE70" s="262"/>
      <c r="IF70" s="262"/>
      <c r="IG70" s="262"/>
      <c r="IH70" s="262"/>
      <c r="II70" s="262"/>
      <c r="IJ70" s="262"/>
      <c r="IK70" s="262"/>
      <c r="IL70" s="262"/>
      <c r="IM70" s="262"/>
      <c r="IN70" s="262"/>
      <c r="IO70" s="262"/>
      <c r="IP70" s="262"/>
      <c r="IQ70" s="262"/>
      <c r="IR70" s="262"/>
      <c r="IS70" s="262"/>
      <c r="IT70" s="262"/>
      <c r="IU70" s="262"/>
      <c r="IV70" s="262"/>
      <c r="IW70" s="262"/>
      <c r="IX70" s="262"/>
      <c r="IY70" s="262"/>
      <c r="IZ70" s="262"/>
      <c r="JA70" s="262"/>
      <c r="JB70" s="262"/>
      <c r="JC70" s="262"/>
      <c r="JD70" s="262"/>
      <c r="JE70" s="262"/>
      <c r="JF70" s="262"/>
      <c r="JG70" s="262"/>
      <c r="JH70" s="262"/>
      <c r="JI70" s="262"/>
      <c r="JJ70" s="262"/>
      <c r="JK70" s="262"/>
      <c r="JL70" s="262"/>
      <c r="JM70" s="262"/>
      <c r="JN70" s="262"/>
      <c r="JO70" s="262"/>
      <c r="JP70" s="262"/>
      <c r="JQ70" s="262"/>
      <c r="JR70" s="262"/>
      <c r="JS70" s="262"/>
      <c r="JT70" s="262"/>
      <c r="JU70" s="262"/>
      <c r="JV70" s="262"/>
      <c r="JW70" s="262"/>
      <c r="JX70" s="262"/>
      <c r="JY70" s="262"/>
      <c r="JZ70" s="262"/>
      <c r="KA70" s="262"/>
      <c r="KB70" s="262"/>
      <c r="KC70" s="262"/>
      <c r="KD70" s="262"/>
      <c r="KE70" s="262"/>
      <c r="KF70" s="262"/>
      <c r="KG70" s="262"/>
      <c r="KH70" s="262"/>
      <c r="KI70" s="262"/>
      <c r="KJ70" s="262"/>
      <c r="KK70" s="262"/>
      <c r="KL70" s="262"/>
      <c r="KM70" s="262"/>
      <c r="KN70" s="262"/>
      <c r="KO70" s="262"/>
      <c r="KP70" s="262"/>
      <c r="KQ70" s="262"/>
      <c r="KR70" s="262"/>
      <c r="KS70" s="262"/>
      <c r="KT70" s="262"/>
      <c r="KU70" s="262"/>
      <c r="KV70" s="262"/>
      <c r="KW70" s="262"/>
      <c r="KX70" s="262"/>
      <c r="KY70" s="262"/>
      <c r="KZ70" s="262"/>
    </row>
    <row r="71" spans="1:312" s="85" customFormat="1" ht="50" customHeight="1">
      <c r="A71" s="263" t="s">
        <v>101</v>
      </c>
      <c r="B71" s="264"/>
      <c r="C71" s="86"/>
      <c r="D71" s="86"/>
      <c r="E71" s="60">
        <v>184</v>
      </c>
      <c r="F71" s="86" t="e">
        <f t="shared" si="2"/>
        <v>#DIV/0!</v>
      </c>
      <c r="G71" s="87">
        <v>6</v>
      </c>
      <c r="H71" s="87">
        <v>8</v>
      </c>
      <c r="I71" s="87"/>
      <c r="J71" s="87" t="s">
        <v>240</v>
      </c>
      <c r="K71" s="89" t="s">
        <v>264</v>
      </c>
      <c r="L71" s="94"/>
      <c r="M71" s="90" t="s">
        <v>689</v>
      </c>
      <c r="N71" s="91"/>
      <c r="O71" s="91" t="s">
        <v>335</v>
      </c>
      <c r="P71" s="92"/>
      <c r="Q71" s="95" t="s">
        <v>689</v>
      </c>
      <c r="R71" s="95" t="s">
        <v>689</v>
      </c>
      <c r="S71" s="60">
        <v>184</v>
      </c>
      <c r="T71" s="263">
        <f t="shared" si="1"/>
        <v>1104</v>
      </c>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262"/>
      <c r="BT71" s="262"/>
      <c r="BU71" s="262"/>
      <c r="BV71" s="262"/>
      <c r="BW71" s="262"/>
      <c r="BX71" s="262"/>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2"/>
      <c r="CV71" s="262"/>
      <c r="CW71" s="262"/>
      <c r="CX71" s="262"/>
      <c r="CY71" s="262"/>
      <c r="CZ71" s="262"/>
      <c r="DA71" s="262"/>
      <c r="DB71" s="262"/>
      <c r="DC71" s="262"/>
      <c r="DD71" s="262"/>
      <c r="DE71" s="262"/>
      <c r="DF71" s="262"/>
      <c r="DG71" s="262"/>
      <c r="DH71" s="262"/>
      <c r="DI71" s="262"/>
      <c r="DJ71" s="262"/>
      <c r="DK71" s="262"/>
      <c r="DL71" s="262"/>
      <c r="DM71" s="262"/>
      <c r="DN71" s="262"/>
      <c r="DO71" s="262"/>
      <c r="DP71" s="262"/>
      <c r="DQ71" s="262"/>
      <c r="DR71" s="262"/>
      <c r="DS71" s="262"/>
      <c r="DT71" s="262"/>
      <c r="DU71" s="262"/>
      <c r="DV71" s="262"/>
      <c r="DW71" s="262"/>
      <c r="DX71" s="262"/>
      <c r="DY71" s="262"/>
      <c r="DZ71" s="262"/>
      <c r="EA71" s="262"/>
      <c r="EB71" s="262"/>
      <c r="EC71" s="262"/>
      <c r="ED71" s="262"/>
      <c r="EE71" s="262"/>
      <c r="EF71" s="262"/>
      <c r="EG71" s="262"/>
      <c r="EH71" s="262"/>
      <c r="EI71" s="262"/>
      <c r="EJ71" s="262"/>
      <c r="EK71" s="262"/>
      <c r="EL71" s="262"/>
      <c r="EM71" s="262"/>
      <c r="EN71" s="262"/>
      <c r="EO71" s="262"/>
      <c r="EP71" s="262"/>
      <c r="EQ71" s="262"/>
      <c r="ER71" s="262"/>
      <c r="ES71" s="262"/>
      <c r="ET71" s="262"/>
      <c r="EU71" s="262"/>
      <c r="EV71" s="262"/>
      <c r="EW71" s="262"/>
      <c r="EX71" s="262"/>
      <c r="EY71" s="262"/>
      <c r="EZ71" s="262"/>
      <c r="FA71" s="262"/>
      <c r="FB71" s="262"/>
      <c r="FC71" s="262"/>
      <c r="FD71" s="262"/>
      <c r="FE71" s="262"/>
      <c r="FF71" s="262"/>
      <c r="FG71" s="262"/>
      <c r="FH71" s="262"/>
      <c r="FI71" s="262"/>
      <c r="FJ71" s="262"/>
      <c r="FK71" s="262"/>
      <c r="FL71" s="262"/>
      <c r="FM71" s="262"/>
      <c r="FN71" s="262"/>
      <c r="FO71" s="262"/>
      <c r="FP71" s="262"/>
      <c r="FQ71" s="262"/>
      <c r="FR71" s="262"/>
      <c r="FS71" s="262"/>
      <c r="FT71" s="262"/>
      <c r="FU71" s="262"/>
      <c r="FV71" s="262"/>
      <c r="FW71" s="262"/>
      <c r="FX71" s="262"/>
      <c r="FY71" s="262"/>
      <c r="FZ71" s="262"/>
      <c r="GA71" s="262"/>
      <c r="GB71" s="262"/>
      <c r="GC71" s="262"/>
      <c r="GD71" s="262"/>
      <c r="GE71" s="262"/>
      <c r="GF71" s="262"/>
      <c r="GG71" s="262"/>
      <c r="GH71" s="262"/>
      <c r="GI71" s="262"/>
      <c r="GJ71" s="262"/>
      <c r="GK71" s="262"/>
      <c r="GL71" s="262"/>
      <c r="GM71" s="262"/>
      <c r="GN71" s="262"/>
      <c r="GO71" s="262"/>
      <c r="GP71" s="262"/>
      <c r="GQ71" s="262"/>
      <c r="GR71" s="262"/>
      <c r="GS71" s="262"/>
      <c r="GT71" s="262"/>
      <c r="GU71" s="262"/>
      <c r="GV71" s="262"/>
      <c r="GW71" s="262"/>
      <c r="GX71" s="262"/>
      <c r="GY71" s="262"/>
      <c r="GZ71" s="262"/>
      <c r="HA71" s="262"/>
      <c r="HB71" s="262"/>
      <c r="HC71" s="262"/>
      <c r="HD71" s="262"/>
      <c r="HE71" s="262"/>
      <c r="HF71" s="262"/>
      <c r="HG71" s="262"/>
      <c r="HH71" s="262"/>
      <c r="HI71" s="262"/>
      <c r="HJ71" s="262"/>
      <c r="HK71" s="262"/>
      <c r="HL71" s="262"/>
      <c r="HM71" s="262"/>
      <c r="HN71" s="262"/>
      <c r="HO71" s="262"/>
      <c r="HP71" s="262"/>
      <c r="HQ71" s="262"/>
      <c r="HR71" s="262"/>
      <c r="HS71" s="262"/>
      <c r="HT71" s="262"/>
      <c r="HU71" s="262"/>
      <c r="HV71" s="262"/>
      <c r="HW71" s="262"/>
      <c r="HX71" s="262"/>
      <c r="HY71" s="262"/>
      <c r="HZ71" s="262"/>
      <c r="IA71" s="262"/>
      <c r="IB71" s="262"/>
      <c r="IC71" s="262"/>
      <c r="ID71" s="262"/>
      <c r="IE71" s="262"/>
      <c r="IF71" s="262"/>
      <c r="IG71" s="262"/>
      <c r="IH71" s="262"/>
      <c r="II71" s="262"/>
      <c r="IJ71" s="262"/>
      <c r="IK71" s="262"/>
      <c r="IL71" s="262"/>
      <c r="IM71" s="262"/>
      <c r="IN71" s="262"/>
      <c r="IO71" s="262"/>
      <c r="IP71" s="262"/>
      <c r="IQ71" s="262"/>
      <c r="IR71" s="262"/>
      <c r="IS71" s="262"/>
      <c r="IT71" s="262"/>
      <c r="IU71" s="262"/>
      <c r="IV71" s="262"/>
      <c r="IW71" s="262"/>
      <c r="IX71" s="262"/>
      <c r="IY71" s="262"/>
      <c r="IZ71" s="262"/>
      <c r="JA71" s="262"/>
      <c r="JB71" s="262"/>
      <c r="JC71" s="262"/>
      <c r="JD71" s="262"/>
      <c r="JE71" s="262"/>
      <c r="JF71" s="262"/>
      <c r="JG71" s="262"/>
      <c r="JH71" s="262"/>
      <c r="JI71" s="262"/>
      <c r="JJ71" s="262"/>
      <c r="JK71" s="262"/>
      <c r="JL71" s="262"/>
      <c r="JM71" s="262"/>
      <c r="JN71" s="262"/>
      <c r="JO71" s="262"/>
      <c r="JP71" s="262"/>
      <c r="JQ71" s="262"/>
      <c r="JR71" s="262"/>
      <c r="JS71" s="262"/>
      <c r="JT71" s="262"/>
      <c r="JU71" s="262"/>
      <c r="JV71" s="262"/>
      <c r="JW71" s="262"/>
      <c r="JX71" s="262"/>
      <c r="JY71" s="262"/>
      <c r="JZ71" s="262"/>
      <c r="KA71" s="262"/>
      <c r="KB71" s="262"/>
      <c r="KC71" s="262"/>
      <c r="KD71" s="262"/>
      <c r="KE71" s="262"/>
      <c r="KF71" s="262"/>
      <c r="KG71" s="262"/>
      <c r="KH71" s="262"/>
      <c r="KI71" s="262"/>
      <c r="KJ71" s="262"/>
      <c r="KK71" s="262"/>
      <c r="KL71" s="262"/>
      <c r="KM71" s="262"/>
      <c r="KN71" s="262"/>
      <c r="KO71" s="262"/>
      <c r="KP71" s="262"/>
      <c r="KQ71" s="262"/>
      <c r="KR71" s="262"/>
      <c r="KS71" s="262"/>
      <c r="KT71" s="262"/>
      <c r="KU71" s="262"/>
      <c r="KV71" s="262"/>
      <c r="KW71" s="262"/>
      <c r="KX71" s="262"/>
      <c r="KY71" s="262"/>
      <c r="KZ71" s="262"/>
    </row>
    <row r="72" spans="1:312" s="85" customFormat="1" ht="50" customHeight="1">
      <c r="A72" s="263" t="s">
        <v>380</v>
      </c>
      <c r="B72" s="264"/>
      <c r="C72" s="86"/>
      <c r="D72" s="86"/>
      <c r="E72" s="60">
        <v>1619</v>
      </c>
      <c r="F72" s="86" t="e">
        <f t="shared" si="2"/>
        <v>#DIV/0!</v>
      </c>
      <c r="G72" s="87">
        <v>5</v>
      </c>
      <c r="H72" s="87">
        <v>8</v>
      </c>
      <c r="I72" s="87"/>
      <c r="J72" s="87" t="s">
        <v>204</v>
      </c>
      <c r="K72" s="89" t="s">
        <v>704</v>
      </c>
      <c r="L72" s="90" t="s">
        <v>689</v>
      </c>
      <c r="M72" s="90" t="s">
        <v>689</v>
      </c>
      <c r="N72" s="91"/>
      <c r="O72" s="91" t="s">
        <v>335</v>
      </c>
      <c r="P72" s="92"/>
      <c r="Q72" s="95" t="s">
        <v>689</v>
      </c>
      <c r="R72" s="95" t="s">
        <v>689</v>
      </c>
      <c r="S72" s="60">
        <v>1619</v>
      </c>
      <c r="T72" s="263">
        <f t="shared" ref="T72:T135" si="3">S72*G72</f>
        <v>8095</v>
      </c>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262"/>
      <c r="BT72" s="262"/>
      <c r="BU72" s="262"/>
      <c r="BV72" s="262"/>
      <c r="BW72" s="262"/>
      <c r="BX72" s="262"/>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2"/>
      <c r="CV72" s="262"/>
      <c r="CW72" s="262"/>
      <c r="CX72" s="262"/>
      <c r="CY72" s="262"/>
      <c r="CZ72" s="262"/>
      <c r="DA72" s="262"/>
      <c r="DB72" s="262"/>
      <c r="DC72" s="262"/>
      <c r="DD72" s="262"/>
      <c r="DE72" s="262"/>
      <c r="DF72" s="262"/>
      <c r="DG72" s="262"/>
      <c r="DH72" s="262"/>
      <c r="DI72" s="262"/>
      <c r="DJ72" s="262"/>
      <c r="DK72" s="262"/>
      <c r="DL72" s="262"/>
      <c r="DM72" s="262"/>
      <c r="DN72" s="262"/>
      <c r="DO72" s="262"/>
      <c r="DP72" s="262"/>
      <c r="DQ72" s="262"/>
      <c r="DR72" s="262"/>
      <c r="DS72" s="262"/>
      <c r="DT72" s="262"/>
      <c r="DU72" s="262"/>
      <c r="DV72" s="262"/>
      <c r="DW72" s="262"/>
      <c r="DX72" s="262"/>
      <c r="DY72" s="262"/>
      <c r="DZ72" s="262"/>
      <c r="EA72" s="262"/>
      <c r="EB72" s="262"/>
      <c r="EC72" s="262"/>
      <c r="ED72" s="262"/>
      <c r="EE72" s="262"/>
      <c r="EF72" s="262"/>
      <c r="EG72" s="262"/>
      <c r="EH72" s="262"/>
      <c r="EI72" s="262"/>
      <c r="EJ72" s="262"/>
      <c r="EK72" s="262"/>
      <c r="EL72" s="262"/>
      <c r="EM72" s="262"/>
      <c r="EN72" s="262"/>
      <c r="EO72" s="262"/>
      <c r="EP72" s="262"/>
      <c r="EQ72" s="262"/>
      <c r="ER72" s="262"/>
      <c r="ES72" s="262"/>
      <c r="ET72" s="262"/>
      <c r="EU72" s="262"/>
      <c r="EV72" s="262"/>
      <c r="EW72" s="262"/>
      <c r="EX72" s="262"/>
      <c r="EY72" s="262"/>
      <c r="EZ72" s="262"/>
      <c r="FA72" s="262"/>
      <c r="FB72" s="262"/>
      <c r="FC72" s="262"/>
      <c r="FD72" s="262"/>
      <c r="FE72" s="262"/>
      <c r="FF72" s="262"/>
      <c r="FG72" s="262"/>
      <c r="FH72" s="262"/>
      <c r="FI72" s="262"/>
      <c r="FJ72" s="262"/>
      <c r="FK72" s="262"/>
      <c r="FL72" s="262"/>
      <c r="FM72" s="262"/>
      <c r="FN72" s="262"/>
      <c r="FO72" s="262"/>
      <c r="FP72" s="262"/>
      <c r="FQ72" s="262"/>
      <c r="FR72" s="262"/>
      <c r="FS72" s="262"/>
      <c r="FT72" s="262"/>
      <c r="FU72" s="262"/>
      <c r="FV72" s="262"/>
      <c r="FW72" s="262"/>
      <c r="FX72" s="262"/>
      <c r="FY72" s="262"/>
      <c r="FZ72" s="262"/>
      <c r="GA72" s="262"/>
      <c r="GB72" s="262"/>
      <c r="GC72" s="262"/>
      <c r="GD72" s="262"/>
      <c r="GE72" s="262"/>
      <c r="GF72" s="262"/>
      <c r="GG72" s="262"/>
      <c r="GH72" s="262"/>
      <c r="GI72" s="262"/>
      <c r="GJ72" s="262"/>
      <c r="GK72" s="262"/>
      <c r="GL72" s="262"/>
      <c r="GM72" s="262"/>
      <c r="GN72" s="262"/>
      <c r="GO72" s="262"/>
      <c r="GP72" s="262"/>
      <c r="GQ72" s="262"/>
      <c r="GR72" s="262"/>
      <c r="GS72" s="262"/>
      <c r="GT72" s="262"/>
      <c r="GU72" s="262"/>
      <c r="GV72" s="262"/>
      <c r="GW72" s="262"/>
      <c r="GX72" s="262"/>
      <c r="GY72" s="262"/>
      <c r="GZ72" s="262"/>
      <c r="HA72" s="262"/>
      <c r="HB72" s="262"/>
      <c r="HC72" s="262"/>
      <c r="HD72" s="262"/>
      <c r="HE72" s="262"/>
      <c r="HF72" s="262"/>
      <c r="HG72" s="262"/>
      <c r="HH72" s="262"/>
      <c r="HI72" s="262"/>
      <c r="HJ72" s="262"/>
      <c r="HK72" s="262"/>
      <c r="HL72" s="262"/>
      <c r="HM72" s="262"/>
      <c r="HN72" s="262"/>
      <c r="HO72" s="262"/>
      <c r="HP72" s="262"/>
      <c r="HQ72" s="262"/>
      <c r="HR72" s="262"/>
      <c r="HS72" s="262"/>
      <c r="HT72" s="262"/>
      <c r="HU72" s="262"/>
      <c r="HV72" s="262"/>
      <c r="HW72" s="262"/>
      <c r="HX72" s="262"/>
      <c r="HY72" s="262"/>
      <c r="HZ72" s="262"/>
      <c r="IA72" s="262"/>
      <c r="IB72" s="262"/>
      <c r="IC72" s="262"/>
      <c r="ID72" s="262"/>
      <c r="IE72" s="262"/>
      <c r="IF72" s="262"/>
      <c r="IG72" s="262"/>
      <c r="IH72" s="262"/>
      <c r="II72" s="262"/>
      <c r="IJ72" s="262"/>
      <c r="IK72" s="262"/>
      <c r="IL72" s="262"/>
      <c r="IM72" s="262"/>
      <c r="IN72" s="262"/>
      <c r="IO72" s="262"/>
      <c r="IP72" s="262"/>
      <c r="IQ72" s="262"/>
      <c r="IR72" s="262"/>
      <c r="IS72" s="262"/>
      <c r="IT72" s="262"/>
      <c r="IU72" s="262"/>
      <c r="IV72" s="262"/>
      <c r="IW72" s="262"/>
      <c r="IX72" s="262"/>
      <c r="IY72" s="262"/>
      <c r="IZ72" s="262"/>
      <c r="JA72" s="262"/>
      <c r="JB72" s="262"/>
      <c r="JC72" s="262"/>
      <c r="JD72" s="262"/>
      <c r="JE72" s="262"/>
      <c r="JF72" s="262"/>
      <c r="JG72" s="262"/>
      <c r="JH72" s="262"/>
      <c r="JI72" s="262"/>
      <c r="JJ72" s="262"/>
      <c r="JK72" s="262"/>
      <c r="JL72" s="262"/>
      <c r="JM72" s="262"/>
      <c r="JN72" s="262"/>
      <c r="JO72" s="262"/>
      <c r="JP72" s="262"/>
      <c r="JQ72" s="262"/>
      <c r="JR72" s="262"/>
      <c r="JS72" s="262"/>
      <c r="JT72" s="262"/>
      <c r="JU72" s="262"/>
      <c r="JV72" s="262"/>
      <c r="JW72" s="262"/>
      <c r="JX72" s="262"/>
      <c r="JY72" s="262"/>
      <c r="JZ72" s="262"/>
      <c r="KA72" s="262"/>
      <c r="KB72" s="262"/>
      <c r="KC72" s="262"/>
      <c r="KD72" s="262"/>
      <c r="KE72" s="262"/>
      <c r="KF72" s="262"/>
      <c r="KG72" s="262"/>
      <c r="KH72" s="262"/>
      <c r="KI72" s="262"/>
      <c r="KJ72" s="262"/>
      <c r="KK72" s="262"/>
      <c r="KL72" s="262"/>
      <c r="KM72" s="262"/>
      <c r="KN72" s="262"/>
      <c r="KO72" s="262"/>
      <c r="KP72" s="262"/>
      <c r="KQ72" s="262"/>
      <c r="KR72" s="262"/>
      <c r="KS72" s="262"/>
      <c r="KT72" s="262"/>
      <c r="KU72" s="262"/>
      <c r="KV72" s="262"/>
      <c r="KW72" s="262"/>
      <c r="KX72" s="262"/>
      <c r="KY72" s="262"/>
      <c r="KZ72" s="262"/>
    </row>
    <row r="73" spans="1:312" s="85" customFormat="1" ht="50" customHeight="1">
      <c r="A73" s="263" t="s">
        <v>308</v>
      </c>
      <c r="B73" s="264"/>
      <c r="C73" s="86"/>
      <c r="D73" s="86"/>
      <c r="E73" s="60">
        <v>1619</v>
      </c>
      <c r="F73" s="86" t="e">
        <f t="shared" si="2"/>
        <v>#DIV/0!</v>
      </c>
      <c r="G73" s="87">
        <v>5</v>
      </c>
      <c r="H73" s="87">
        <v>8</v>
      </c>
      <c r="I73" s="87"/>
      <c r="J73" s="87" t="s">
        <v>204</v>
      </c>
      <c r="K73" s="89" t="s">
        <v>309</v>
      </c>
      <c r="L73" s="90" t="s">
        <v>689</v>
      </c>
      <c r="M73" s="90" t="s">
        <v>689</v>
      </c>
      <c r="N73" s="91"/>
      <c r="O73" s="91" t="s">
        <v>335</v>
      </c>
      <c r="P73" s="92"/>
      <c r="Q73" s="95" t="s">
        <v>689</v>
      </c>
      <c r="R73" s="95" t="s">
        <v>689</v>
      </c>
      <c r="S73" s="60">
        <v>1619</v>
      </c>
      <c r="T73" s="263">
        <f t="shared" si="3"/>
        <v>8095</v>
      </c>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262"/>
      <c r="BT73" s="262"/>
      <c r="BU73" s="262"/>
      <c r="BV73" s="262"/>
      <c r="BW73" s="262"/>
      <c r="BX73" s="262"/>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2"/>
      <c r="CV73" s="262"/>
      <c r="CW73" s="262"/>
      <c r="CX73" s="262"/>
      <c r="CY73" s="262"/>
      <c r="CZ73" s="262"/>
      <c r="DA73" s="262"/>
      <c r="DB73" s="262"/>
      <c r="DC73" s="262"/>
      <c r="DD73" s="262"/>
      <c r="DE73" s="262"/>
      <c r="DF73" s="262"/>
      <c r="DG73" s="262"/>
      <c r="DH73" s="262"/>
      <c r="DI73" s="262"/>
      <c r="DJ73" s="262"/>
      <c r="DK73" s="262"/>
      <c r="DL73" s="262"/>
      <c r="DM73" s="262"/>
      <c r="DN73" s="262"/>
      <c r="DO73" s="262"/>
      <c r="DP73" s="262"/>
      <c r="DQ73" s="262"/>
      <c r="DR73" s="262"/>
      <c r="DS73" s="262"/>
      <c r="DT73" s="262"/>
      <c r="DU73" s="262"/>
      <c r="DV73" s="262"/>
      <c r="DW73" s="262"/>
      <c r="DX73" s="262"/>
      <c r="DY73" s="262"/>
      <c r="DZ73" s="262"/>
      <c r="EA73" s="262"/>
      <c r="EB73" s="262"/>
      <c r="EC73" s="262"/>
      <c r="ED73" s="262"/>
      <c r="EE73" s="262"/>
      <c r="EF73" s="262"/>
      <c r="EG73" s="262"/>
      <c r="EH73" s="262"/>
      <c r="EI73" s="262"/>
      <c r="EJ73" s="262"/>
      <c r="EK73" s="262"/>
      <c r="EL73" s="262"/>
      <c r="EM73" s="262"/>
      <c r="EN73" s="262"/>
      <c r="EO73" s="262"/>
      <c r="EP73" s="262"/>
      <c r="EQ73" s="262"/>
      <c r="ER73" s="262"/>
      <c r="ES73" s="262"/>
      <c r="ET73" s="262"/>
      <c r="EU73" s="262"/>
      <c r="EV73" s="262"/>
      <c r="EW73" s="262"/>
      <c r="EX73" s="262"/>
      <c r="EY73" s="262"/>
      <c r="EZ73" s="262"/>
      <c r="FA73" s="262"/>
      <c r="FB73" s="262"/>
      <c r="FC73" s="262"/>
      <c r="FD73" s="262"/>
      <c r="FE73" s="262"/>
      <c r="FF73" s="262"/>
      <c r="FG73" s="262"/>
      <c r="FH73" s="262"/>
      <c r="FI73" s="262"/>
      <c r="FJ73" s="262"/>
      <c r="FK73" s="262"/>
      <c r="FL73" s="262"/>
      <c r="FM73" s="262"/>
      <c r="FN73" s="262"/>
      <c r="FO73" s="262"/>
      <c r="FP73" s="262"/>
      <c r="FQ73" s="262"/>
      <c r="FR73" s="262"/>
      <c r="FS73" s="262"/>
      <c r="FT73" s="262"/>
      <c r="FU73" s="262"/>
      <c r="FV73" s="262"/>
      <c r="FW73" s="262"/>
      <c r="FX73" s="262"/>
      <c r="FY73" s="262"/>
      <c r="FZ73" s="262"/>
      <c r="GA73" s="262"/>
      <c r="GB73" s="262"/>
      <c r="GC73" s="262"/>
      <c r="GD73" s="262"/>
      <c r="GE73" s="262"/>
      <c r="GF73" s="262"/>
      <c r="GG73" s="262"/>
      <c r="GH73" s="262"/>
      <c r="GI73" s="262"/>
      <c r="GJ73" s="262"/>
      <c r="GK73" s="262"/>
      <c r="GL73" s="262"/>
      <c r="GM73" s="262"/>
      <c r="GN73" s="262"/>
      <c r="GO73" s="262"/>
      <c r="GP73" s="262"/>
      <c r="GQ73" s="262"/>
      <c r="GR73" s="262"/>
      <c r="GS73" s="262"/>
      <c r="GT73" s="262"/>
      <c r="GU73" s="262"/>
      <c r="GV73" s="262"/>
      <c r="GW73" s="262"/>
      <c r="GX73" s="262"/>
      <c r="GY73" s="262"/>
      <c r="GZ73" s="262"/>
      <c r="HA73" s="262"/>
      <c r="HB73" s="262"/>
      <c r="HC73" s="262"/>
      <c r="HD73" s="262"/>
      <c r="HE73" s="262"/>
      <c r="HF73" s="262"/>
      <c r="HG73" s="262"/>
      <c r="HH73" s="262"/>
      <c r="HI73" s="262"/>
      <c r="HJ73" s="262"/>
      <c r="HK73" s="262"/>
      <c r="HL73" s="262"/>
      <c r="HM73" s="262"/>
      <c r="HN73" s="262"/>
      <c r="HO73" s="262"/>
      <c r="HP73" s="262"/>
      <c r="HQ73" s="262"/>
      <c r="HR73" s="262"/>
      <c r="HS73" s="262"/>
      <c r="HT73" s="262"/>
      <c r="HU73" s="262"/>
      <c r="HV73" s="262"/>
      <c r="HW73" s="262"/>
      <c r="HX73" s="262"/>
      <c r="HY73" s="262"/>
      <c r="HZ73" s="262"/>
      <c r="IA73" s="262"/>
      <c r="IB73" s="262"/>
      <c r="IC73" s="262"/>
      <c r="ID73" s="262"/>
      <c r="IE73" s="262"/>
      <c r="IF73" s="262"/>
      <c r="IG73" s="262"/>
      <c r="IH73" s="262"/>
      <c r="II73" s="262"/>
      <c r="IJ73" s="262"/>
      <c r="IK73" s="262"/>
      <c r="IL73" s="262"/>
      <c r="IM73" s="262"/>
      <c r="IN73" s="262"/>
      <c r="IO73" s="262"/>
      <c r="IP73" s="262"/>
      <c r="IQ73" s="262"/>
      <c r="IR73" s="262"/>
      <c r="IS73" s="262"/>
      <c r="IT73" s="262"/>
      <c r="IU73" s="262"/>
      <c r="IV73" s="262"/>
      <c r="IW73" s="262"/>
      <c r="IX73" s="262"/>
      <c r="IY73" s="262"/>
      <c r="IZ73" s="262"/>
      <c r="JA73" s="262"/>
      <c r="JB73" s="262"/>
      <c r="JC73" s="262"/>
      <c r="JD73" s="262"/>
      <c r="JE73" s="262"/>
      <c r="JF73" s="262"/>
      <c r="JG73" s="262"/>
      <c r="JH73" s="262"/>
      <c r="JI73" s="262"/>
      <c r="JJ73" s="262"/>
      <c r="JK73" s="262"/>
      <c r="JL73" s="262"/>
      <c r="JM73" s="262"/>
      <c r="JN73" s="262"/>
      <c r="JO73" s="262"/>
      <c r="JP73" s="262"/>
      <c r="JQ73" s="262"/>
      <c r="JR73" s="262"/>
      <c r="JS73" s="262"/>
      <c r="JT73" s="262"/>
      <c r="JU73" s="262"/>
      <c r="JV73" s="262"/>
      <c r="JW73" s="262"/>
      <c r="JX73" s="262"/>
      <c r="JY73" s="262"/>
      <c r="JZ73" s="262"/>
      <c r="KA73" s="262"/>
      <c r="KB73" s="262"/>
      <c r="KC73" s="262"/>
      <c r="KD73" s="262"/>
      <c r="KE73" s="262"/>
      <c r="KF73" s="262"/>
      <c r="KG73" s="262"/>
      <c r="KH73" s="262"/>
      <c r="KI73" s="262"/>
      <c r="KJ73" s="262"/>
      <c r="KK73" s="262"/>
      <c r="KL73" s="262"/>
      <c r="KM73" s="262"/>
      <c r="KN73" s="262"/>
      <c r="KO73" s="262"/>
      <c r="KP73" s="262"/>
      <c r="KQ73" s="262"/>
      <c r="KR73" s="262"/>
      <c r="KS73" s="262"/>
      <c r="KT73" s="262"/>
      <c r="KU73" s="262"/>
      <c r="KV73" s="262"/>
      <c r="KW73" s="262"/>
      <c r="KX73" s="262"/>
      <c r="KY73" s="262"/>
      <c r="KZ73" s="262"/>
    </row>
    <row r="74" spans="1:312" s="85" customFormat="1" ht="50" customHeight="1">
      <c r="A74" s="263" t="s">
        <v>126</v>
      </c>
      <c r="B74" s="264"/>
      <c r="C74" s="86"/>
      <c r="D74" s="86"/>
      <c r="E74" s="60">
        <v>68</v>
      </c>
      <c r="F74" s="86" t="e">
        <f t="shared" si="2"/>
        <v>#DIV/0!</v>
      </c>
      <c r="G74" s="87">
        <v>5</v>
      </c>
      <c r="H74" s="87">
        <v>8</v>
      </c>
      <c r="I74" s="87"/>
      <c r="J74" s="87" t="s">
        <v>204</v>
      </c>
      <c r="K74" s="89" t="s">
        <v>326</v>
      </c>
      <c r="L74" s="94"/>
      <c r="M74" s="94"/>
      <c r="N74" s="91"/>
      <c r="O74" s="91" t="s">
        <v>335</v>
      </c>
      <c r="P74" s="92"/>
      <c r="Q74" s="95" t="s">
        <v>689</v>
      </c>
      <c r="R74" s="95"/>
      <c r="S74" s="60">
        <v>68</v>
      </c>
      <c r="T74" s="263">
        <f t="shared" si="3"/>
        <v>340</v>
      </c>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262"/>
      <c r="BT74" s="262"/>
      <c r="BU74" s="262"/>
      <c r="BV74" s="262"/>
      <c r="BW74" s="262"/>
      <c r="BX74" s="262"/>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2"/>
      <c r="CV74" s="262"/>
      <c r="CW74" s="262"/>
      <c r="CX74" s="262"/>
      <c r="CY74" s="262"/>
      <c r="CZ74" s="262"/>
      <c r="DA74" s="262"/>
      <c r="DB74" s="262"/>
      <c r="DC74" s="262"/>
      <c r="DD74" s="262"/>
      <c r="DE74" s="262"/>
      <c r="DF74" s="262"/>
      <c r="DG74" s="262"/>
      <c r="DH74" s="262"/>
      <c r="DI74" s="262"/>
      <c r="DJ74" s="262"/>
      <c r="DK74" s="262"/>
      <c r="DL74" s="262"/>
      <c r="DM74" s="262"/>
      <c r="DN74" s="262"/>
      <c r="DO74" s="262"/>
      <c r="DP74" s="262"/>
      <c r="DQ74" s="262"/>
      <c r="DR74" s="262"/>
      <c r="DS74" s="262"/>
      <c r="DT74" s="262"/>
      <c r="DU74" s="262"/>
      <c r="DV74" s="262"/>
      <c r="DW74" s="262"/>
      <c r="DX74" s="262"/>
      <c r="DY74" s="262"/>
      <c r="DZ74" s="262"/>
      <c r="EA74" s="262"/>
      <c r="EB74" s="262"/>
      <c r="EC74" s="262"/>
      <c r="ED74" s="262"/>
      <c r="EE74" s="262"/>
      <c r="EF74" s="262"/>
      <c r="EG74" s="262"/>
      <c r="EH74" s="262"/>
      <c r="EI74" s="262"/>
      <c r="EJ74" s="262"/>
      <c r="EK74" s="262"/>
      <c r="EL74" s="262"/>
      <c r="EM74" s="262"/>
      <c r="EN74" s="262"/>
      <c r="EO74" s="262"/>
      <c r="EP74" s="262"/>
      <c r="EQ74" s="262"/>
      <c r="ER74" s="262"/>
      <c r="ES74" s="262"/>
      <c r="ET74" s="262"/>
      <c r="EU74" s="262"/>
      <c r="EV74" s="262"/>
      <c r="EW74" s="262"/>
      <c r="EX74" s="262"/>
      <c r="EY74" s="262"/>
      <c r="EZ74" s="262"/>
      <c r="FA74" s="262"/>
      <c r="FB74" s="262"/>
      <c r="FC74" s="262"/>
      <c r="FD74" s="262"/>
      <c r="FE74" s="262"/>
      <c r="FF74" s="262"/>
      <c r="FG74" s="262"/>
      <c r="FH74" s="262"/>
      <c r="FI74" s="262"/>
      <c r="FJ74" s="262"/>
      <c r="FK74" s="262"/>
      <c r="FL74" s="262"/>
      <c r="FM74" s="262"/>
      <c r="FN74" s="262"/>
      <c r="FO74" s="262"/>
      <c r="FP74" s="262"/>
      <c r="FQ74" s="262"/>
      <c r="FR74" s="262"/>
      <c r="FS74" s="262"/>
      <c r="FT74" s="262"/>
      <c r="FU74" s="262"/>
      <c r="FV74" s="262"/>
      <c r="FW74" s="262"/>
      <c r="FX74" s="262"/>
      <c r="FY74" s="262"/>
      <c r="FZ74" s="262"/>
      <c r="GA74" s="262"/>
      <c r="GB74" s="262"/>
      <c r="GC74" s="262"/>
      <c r="GD74" s="262"/>
      <c r="GE74" s="262"/>
      <c r="GF74" s="262"/>
      <c r="GG74" s="262"/>
      <c r="GH74" s="262"/>
      <c r="GI74" s="262"/>
      <c r="GJ74" s="262"/>
      <c r="GK74" s="262"/>
      <c r="GL74" s="262"/>
      <c r="GM74" s="262"/>
      <c r="GN74" s="262"/>
      <c r="GO74" s="262"/>
      <c r="GP74" s="262"/>
      <c r="GQ74" s="262"/>
      <c r="GR74" s="262"/>
      <c r="GS74" s="262"/>
      <c r="GT74" s="262"/>
      <c r="GU74" s="262"/>
      <c r="GV74" s="262"/>
      <c r="GW74" s="262"/>
      <c r="GX74" s="262"/>
      <c r="GY74" s="262"/>
      <c r="GZ74" s="262"/>
      <c r="HA74" s="262"/>
      <c r="HB74" s="262"/>
      <c r="HC74" s="262"/>
      <c r="HD74" s="262"/>
      <c r="HE74" s="262"/>
      <c r="HF74" s="262"/>
      <c r="HG74" s="262"/>
      <c r="HH74" s="262"/>
      <c r="HI74" s="262"/>
      <c r="HJ74" s="262"/>
      <c r="HK74" s="262"/>
      <c r="HL74" s="262"/>
      <c r="HM74" s="262"/>
      <c r="HN74" s="262"/>
      <c r="HO74" s="262"/>
      <c r="HP74" s="262"/>
      <c r="HQ74" s="262"/>
      <c r="HR74" s="262"/>
      <c r="HS74" s="262"/>
      <c r="HT74" s="262"/>
      <c r="HU74" s="262"/>
      <c r="HV74" s="262"/>
      <c r="HW74" s="262"/>
      <c r="HX74" s="262"/>
      <c r="HY74" s="262"/>
      <c r="HZ74" s="262"/>
      <c r="IA74" s="262"/>
      <c r="IB74" s="262"/>
      <c r="IC74" s="262"/>
      <c r="ID74" s="262"/>
      <c r="IE74" s="262"/>
      <c r="IF74" s="262"/>
      <c r="IG74" s="262"/>
      <c r="IH74" s="262"/>
      <c r="II74" s="262"/>
      <c r="IJ74" s="262"/>
      <c r="IK74" s="262"/>
      <c r="IL74" s="262"/>
      <c r="IM74" s="262"/>
      <c r="IN74" s="262"/>
      <c r="IO74" s="262"/>
      <c r="IP74" s="262"/>
      <c r="IQ74" s="262"/>
      <c r="IR74" s="262"/>
      <c r="IS74" s="262"/>
      <c r="IT74" s="262"/>
      <c r="IU74" s="262"/>
      <c r="IV74" s="262"/>
      <c r="IW74" s="262"/>
      <c r="IX74" s="262"/>
      <c r="IY74" s="262"/>
      <c r="IZ74" s="262"/>
      <c r="JA74" s="262"/>
      <c r="JB74" s="262"/>
      <c r="JC74" s="262"/>
      <c r="JD74" s="262"/>
      <c r="JE74" s="262"/>
      <c r="JF74" s="262"/>
      <c r="JG74" s="262"/>
      <c r="JH74" s="262"/>
      <c r="JI74" s="262"/>
      <c r="JJ74" s="262"/>
      <c r="JK74" s="262"/>
      <c r="JL74" s="262"/>
      <c r="JM74" s="262"/>
      <c r="JN74" s="262"/>
      <c r="JO74" s="262"/>
      <c r="JP74" s="262"/>
      <c r="JQ74" s="262"/>
      <c r="JR74" s="262"/>
      <c r="JS74" s="262"/>
      <c r="JT74" s="262"/>
      <c r="JU74" s="262"/>
      <c r="JV74" s="262"/>
      <c r="JW74" s="262"/>
      <c r="JX74" s="262"/>
      <c r="JY74" s="262"/>
      <c r="JZ74" s="262"/>
      <c r="KA74" s="262"/>
      <c r="KB74" s="262"/>
      <c r="KC74" s="262"/>
      <c r="KD74" s="262"/>
      <c r="KE74" s="262"/>
      <c r="KF74" s="262"/>
      <c r="KG74" s="262"/>
      <c r="KH74" s="262"/>
      <c r="KI74" s="262"/>
      <c r="KJ74" s="262"/>
      <c r="KK74" s="262"/>
      <c r="KL74" s="262"/>
      <c r="KM74" s="262"/>
      <c r="KN74" s="262"/>
      <c r="KO74" s="262"/>
      <c r="KP74" s="262"/>
      <c r="KQ74" s="262"/>
      <c r="KR74" s="262"/>
      <c r="KS74" s="262"/>
      <c r="KT74" s="262"/>
      <c r="KU74" s="262"/>
      <c r="KV74" s="262"/>
      <c r="KW74" s="262"/>
      <c r="KX74" s="262"/>
      <c r="KY74" s="262"/>
      <c r="KZ74" s="262"/>
    </row>
    <row r="75" spans="1:312" s="85" customFormat="1" ht="50" customHeight="1">
      <c r="A75" s="263" t="s">
        <v>167</v>
      </c>
      <c r="B75" s="264"/>
      <c r="C75" s="86"/>
      <c r="D75" s="86"/>
      <c r="E75" s="60">
        <v>1715</v>
      </c>
      <c r="F75" s="86" t="e">
        <f t="shared" si="2"/>
        <v>#DIV/0!</v>
      </c>
      <c r="G75" s="87">
        <v>5</v>
      </c>
      <c r="H75" s="87">
        <v>8</v>
      </c>
      <c r="I75" s="87"/>
      <c r="J75" s="264" t="s">
        <v>204</v>
      </c>
      <c r="K75" s="265" t="s">
        <v>705</v>
      </c>
      <c r="L75" s="97" t="s">
        <v>689</v>
      </c>
      <c r="M75" s="90" t="s">
        <v>689</v>
      </c>
      <c r="N75" s="99" t="s">
        <v>335</v>
      </c>
      <c r="O75" s="99" t="s">
        <v>335</v>
      </c>
      <c r="P75" s="266"/>
      <c r="Q75" s="93" t="s">
        <v>689</v>
      </c>
      <c r="R75" s="93" t="s">
        <v>689</v>
      </c>
      <c r="S75" s="60">
        <v>1715</v>
      </c>
      <c r="T75" s="263">
        <f t="shared" si="3"/>
        <v>8575</v>
      </c>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c r="FL75" s="262"/>
      <c r="FM75" s="262"/>
      <c r="FN75" s="262"/>
      <c r="FO75" s="262"/>
      <c r="FP75" s="262"/>
      <c r="FQ75" s="262"/>
      <c r="FR75" s="262"/>
      <c r="FS75" s="262"/>
      <c r="FT75" s="262"/>
      <c r="FU75" s="262"/>
      <c r="FV75" s="262"/>
      <c r="FW75" s="262"/>
      <c r="FX75" s="262"/>
      <c r="FY75" s="262"/>
      <c r="FZ75" s="262"/>
      <c r="GA75" s="262"/>
      <c r="GB75" s="262"/>
      <c r="GC75" s="262"/>
      <c r="GD75" s="262"/>
      <c r="GE75" s="262"/>
      <c r="GF75" s="262"/>
      <c r="GG75" s="262"/>
      <c r="GH75" s="262"/>
      <c r="GI75" s="262"/>
      <c r="GJ75" s="262"/>
      <c r="GK75" s="262"/>
      <c r="GL75" s="262"/>
      <c r="GM75" s="262"/>
      <c r="GN75" s="262"/>
      <c r="GO75" s="262"/>
      <c r="GP75" s="262"/>
      <c r="GQ75" s="262"/>
      <c r="GR75" s="262"/>
      <c r="GS75" s="262"/>
      <c r="GT75" s="262"/>
      <c r="GU75" s="262"/>
      <c r="GV75" s="262"/>
      <c r="GW75" s="262"/>
      <c r="GX75" s="262"/>
      <c r="GY75" s="262"/>
      <c r="GZ75" s="262"/>
      <c r="HA75" s="262"/>
      <c r="HB75" s="262"/>
      <c r="HC75" s="262"/>
      <c r="HD75" s="262"/>
      <c r="HE75" s="262"/>
      <c r="HF75" s="262"/>
      <c r="HG75" s="262"/>
      <c r="HH75" s="262"/>
      <c r="HI75" s="262"/>
      <c r="HJ75" s="262"/>
      <c r="HK75" s="262"/>
      <c r="HL75" s="262"/>
      <c r="HM75" s="262"/>
      <c r="HN75" s="262"/>
      <c r="HO75" s="262"/>
      <c r="HP75" s="262"/>
      <c r="HQ75" s="262"/>
      <c r="HR75" s="262"/>
      <c r="HS75" s="262"/>
      <c r="HT75" s="262"/>
      <c r="HU75" s="262"/>
      <c r="HV75" s="262"/>
      <c r="HW75" s="262"/>
      <c r="HX75" s="262"/>
      <c r="HY75" s="262"/>
      <c r="HZ75" s="262"/>
      <c r="IA75" s="262"/>
      <c r="IB75" s="262"/>
      <c r="IC75" s="262"/>
      <c r="ID75" s="262"/>
      <c r="IE75" s="262"/>
      <c r="IF75" s="262"/>
      <c r="IG75" s="262"/>
      <c r="IH75" s="262"/>
      <c r="II75" s="262"/>
      <c r="IJ75" s="262"/>
      <c r="IK75" s="262"/>
      <c r="IL75" s="262"/>
      <c r="IM75" s="262"/>
      <c r="IN75" s="262"/>
      <c r="IO75" s="262"/>
      <c r="IP75" s="262"/>
      <c r="IQ75" s="262"/>
      <c r="IR75" s="262"/>
      <c r="IS75" s="262"/>
      <c r="IT75" s="262"/>
      <c r="IU75" s="262"/>
      <c r="IV75" s="262"/>
      <c r="IW75" s="262"/>
      <c r="IX75" s="262"/>
      <c r="IY75" s="262"/>
      <c r="IZ75" s="262"/>
      <c r="JA75" s="262"/>
      <c r="JB75" s="262"/>
      <c r="JC75" s="262"/>
      <c r="JD75" s="262"/>
      <c r="JE75" s="262"/>
      <c r="JF75" s="262"/>
      <c r="JG75" s="262"/>
      <c r="JH75" s="262"/>
      <c r="JI75" s="262"/>
      <c r="JJ75" s="262"/>
      <c r="JK75" s="262"/>
      <c r="JL75" s="262"/>
      <c r="JM75" s="262"/>
      <c r="JN75" s="262"/>
      <c r="JO75" s="262"/>
      <c r="JP75" s="262"/>
      <c r="JQ75" s="262"/>
      <c r="JR75" s="262"/>
      <c r="JS75" s="262"/>
      <c r="JT75" s="262"/>
      <c r="JU75" s="262"/>
      <c r="JV75" s="262"/>
      <c r="JW75" s="262"/>
      <c r="JX75" s="262"/>
      <c r="JY75" s="262"/>
      <c r="JZ75" s="262"/>
      <c r="KA75" s="262"/>
      <c r="KB75" s="262"/>
      <c r="KC75" s="262"/>
      <c r="KD75" s="262"/>
      <c r="KE75" s="262"/>
      <c r="KF75" s="262"/>
      <c r="KG75" s="262"/>
      <c r="KH75" s="262"/>
      <c r="KI75" s="262"/>
      <c r="KJ75" s="262"/>
      <c r="KK75" s="262"/>
      <c r="KL75" s="262"/>
      <c r="KM75" s="262"/>
      <c r="KN75" s="262"/>
      <c r="KO75" s="262"/>
      <c r="KP75" s="262"/>
      <c r="KQ75" s="262"/>
      <c r="KR75" s="262"/>
      <c r="KS75" s="262"/>
      <c r="KT75" s="262"/>
      <c r="KU75" s="262"/>
      <c r="KV75" s="262"/>
      <c r="KW75" s="262"/>
      <c r="KX75" s="262"/>
      <c r="KY75" s="262"/>
      <c r="KZ75" s="262"/>
    </row>
    <row r="76" spans="1:312" s="84" customFormat="1" ht="50" customHeight="1">
      <c r="A76" s="263" t="s">
        <v>164</v>
      </c>
      <c r="B76" s="264"/>
      <c r="C76" s="86"/>
      <c r="D76" s="86"/>
      <c r="E76" s="60">
        <v>280</v>
      </c>
      <c r="F76" s="86" t="e">
        <f t="shared" si="2"/>
        <v>#DIV/0!</v>
      </c>
      <c r="G76" s="87">
        <v>5</v>
      </c>
      <c r="H76" s="87">
        <v>8</v>
      </c>
      <c r="I76" s="87"/>
      <c r="J76" s="87" t="s">
        <v>204</v>
      </c>
      <c r="K76" s="89" t="s">
        <v>706</v>
      </c>
      <c r="L76" s="94"/>
      <c r="M76" s="90" t="s">
        <v>689</v>
      </c>
      <c r="N76" s="91" t="s">
        <v>335</v>
      </c>
      <c r="O76" s="91" t="s">
        <v>335</v>
      </c>
      <c r="P76" s="92"/>
      <c r="Q76" s="95" t="s">
        <v>689</v>
      </c>
      <c r="R76" s="95" t="s">
        <v>689</v>
      </c>
      <c r="S76" s="60">
        <v>280</v>
      </c>
      <c r="T76" s="263">
        <f t="shared" si="3"/>
        <v>1400</v>
      </c>
      <c r="U76" s="262"/>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262"/>
      <c r="BT76" s="262"/>
      <c r="BU76" s="262"/>
      <c r="BV76" s="262"/>
      <c r="BW76" s="262"/>
      <c r="BX76" s="262"/>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2"/>
      <c r="CV76" s="262"/>
      <c r="CW76" s="262"/>
      <c r="CX76" s="262"/>
      <c r="CY76" s="262"/>
      <c r="CZ76" s="262"/>
      <c r="DA76" s="262"/>
      <c r="DB76" s="262"/>
      <c r="DC76" s="262"/>
      <c r="DD76" s="262"/>
      <c r="DE76" s="262"/>
      <c r="DF76" s="262"/>
      <c r="DG76" s="262"/>
      <c r="DH76" s="262"/>
      <c r="DI76" s="262"/>
      <c r="DJ76" s="262"/>
      <c r="DK76" s="262"/>
      <c r="DL76" s="262"/>
      <c r="DM76" s="262"/>
      <c r="DN76" s="262"/>
      <c r="DO76" s="262"/>
      <c r="DP76" s="262"/>
      <c r="DQ76" s="262"/>
      <c r="DR76" s="262"/>
      <c r="DS76" s="262"/>
      <c r="DT76" s="262"/>
      <c r="DU76" s="262"/>
      <c r="DV76" s="262"/>
      <c r="DW76" s="262"/>
      <c r="DX76" s="262"/>
      <c r="DY76" s="262"/>
      <c r="DZ76" s="262"/>
      <c r="EA76" s="262"/>
      <c r="EB76" s="262"/>
      <c r="EC76" s="262"/>
      <c r="ED76" s="262"/>
      <c r="EE76" s="262"/>
      <c r="EF76" s="262"/>
      <c r="EG76" s="262"/>
      <c r="EH76" s="262"/>
      <c r="EI76" s="262"/>
      <c r="EJ76" s="262"/>
      <c r="EK76" s="262"/>
      <c r="EL76" s="262"/>
      <c r="EM76" s="262"/>
      <c r="EN76" s="262"/>
      <c r="EO76" s="262"/>
      <c r="EP76" s="262"/>
      <c r="EQ76" s="262"/>
      <c r="ER76" s="262"/>
      <c r="ES76" s="262"/>
      <c r="ET76" s="262"/>
      <c r="EU76" s="262"/>
      <c r="EV76" s="262"/>
      <c r="EW76" s="262"/>
      <c r="EX76" s="262"/>
      <c r="EY76" s="262"/>
      <c r="EZ76" s="262"/>
      <c r="FA76" s="262"/>
      <c r="FB76" s="262"/>
      <c r="FC76" s="262"/>
      <c r="FD76" s="262"/>
      <c r="FE76" s="262"/>
      <c r="FF76" s="262"/>
      <c r="FG76" s="262"/>
      <c r="FH76" s="262"/>
      <c r="FI76" s="262"/>
      <c r="FJ76" s="262"/>
      <c r="FK76" s="262"/>
      <c r="FL76" s="262"/>
      <c r="FM76" s="262"/>
      <c r="FN76" s="262"/>
      <c r="FO76" s="262"/>
      <c r="FP76" s="262"/>
      <c r="FQ76" s="262"/>
      <c r="FR76" s="262"/>
      <c r="FS76" s="262"/>
      <c r="FT76" s="262"/>
      <c r="FU76" s="262"/>
      <c r="FV76" s="262"/>
      <c r="FW76" s="262"/>
      <c r="FX76" s="262"/>
      <c r="FY76" s="262"/>
      <c r="FZ76" s="262"/>
      <c r="GA76" s="262"/>
      <c r="GB76" s="262"/>
      <c r="GC76" s="262"/>
      <c r="GD76" s="262"/>
      <c r="GE76" s="262"/>
      <c r="GF76" s="262"/>
      <c r="GG76" s="262"/>
      <c r="GH76" s="262"/>
      <c r="GI76" s="262"/>
      <c r="GJ76" s="262"/>
      <c r="GK76" s="262"/>
      <c r="GL76" s="262"/>
      <c r="GM76" s="262"/>
      <c r="GN76" s="262"/>
      <c r="GO76" s="262"/>
      <c r="GP76" s="262"/>
      <c r="GQ76" s="262"/>
      <c r="GR76" s="262"/>
      <c r="GS76" s="262"/>
      <c r="GT76" s="262"/>
      <c r="GU76" s="262"/>
      <c r="GV76" s="262"/>
      <c r="GW76" s="262"/>
      <c r="GX76" s="262"/>
      <c r="GY76" s="262"/>
      <c r="GZ76" s="262"/>
      <c r="HA76" s="262"/>
      <c r="HB76" s="262"/>
      <c r="HC76" s="262"/>
      <c r="HD76" s="262"/>
      <c r="HE76" s="262"/>
      <c r="HF76" s="262"/>
      <c r="HG76" s="262"/>
      <c r="HH76" s="262"/>
      <c r="HI76" s="262"/>
      <c r="HJ76" s="262"/>
      <c r="HK76" s="262"/>
      <c r="HL76" s="262"/>
      <c r="HM76" s="262"/>
      <c r="HN76" s="262"/>
      <c r="HO76" s="262"/>
      <c r="HP76" s="262"/>
      <c r="HQ76" s="262"/>
      <c r="HR76" s="262"/>
      <c r="HS76" s="262"/>
      <c r="HT76" s="262"/>
      <c r="HU76" s="262"/>
      <c r="HV76" s="262"/>
      <c r="HW76" s="262"/>
      <c r="HX76" s="262"/>
      <c r="HY76" s="262"/>
      <c r="HZ76" s="262"/>
      <c r="IA76" s="262"/>
      <c r="IB76" s="262"/>
      <c r="IC76" s="262"/>
      <c r="ID76" s="262"/>
      <c r="IE76" s="262"/>
      <c r="IF76" s="262"/>
      <c r="IG76" s="262"/>
      <c r="IH76" s="262"/>
      <c r="II76" s="262"/>
      <c r="IJ76" s="262"/>
      <c r="IK76" s="262"/>
      <c r="IL76" s="262"/>
      <c r="IM76" s="262"/>
      <c r="IN76" s="262"/>
      <c r="IO76" s="262"/>
      <c r="IP76" s="262"/>
      <c r="IQ76" s="262"/>
      <c r="IR76" s="262"/>
      <c r="IS76" s="262"/>
      <c r="IT76" s="262"/>
      <c r="IU76" s="262"/>
      <c r="IV76" s="262"/>
      <c r="IW76" s="262"/>
      <c r="IX76" s="262"/>
      <c r="IY76" s="262"/>
      <c r="IZ76" s="262"/>
      <c r="JA76" s="262"/>
      <c r="JB76" s="262"/>
      <c r="JC76" s="262"/>
      <c r="JD76" s="262"/>
      <c r="JE76" s="262"/>
      <c r="JF76" s="262"/>
      <c r="JG76" s="262"/>
      <c r="JH76" s="262"/>
      <c r="JI76" s="262"/>
      <c r="JJ76" s="262"/>
      <c r="JK76" s="262"/>
      <c r="JL76" s="262"/>
      <c r="JM76" s="262"/>
      <c r="JN76" s="262"/>
      <c r="JO76" s="262"/>
      <c r="JP76" s="262"/>
      <c r="JQ76" s="262"/>
      <c r="JR76" s="262"/>
      <c r="JS76" s="262"/>
      <c r="JT76" s="262"/>
      <c r="JU76" s="262"/>
      <c r="JV76" s="262"/>
      <c r="JW76" s="262"/>
      <c r="JX76" s="262"/>
      <c r="JY76" s="262"/>
      <c r="JZ76" s="262"/>
      <c r="KA76" s="262"/>
      <c r="KB76" s="262"/>
      <c r="KC76" s="262"/>
      <c r="KD76" s="262"/>
      <c r="KE76" s="262"/>
      <c r="KF76" s="262"/>
      <c r="KG76" s="262"/>
      <c r="KH76" s="262"/>
      <c r="KI76" s="262"/>
      <c r="KJ76" s="262"/>
      <c r="KK76" s="262"/>
      <c r="KL76" s="262"/>
      <c r="KM76" s="262"/>
      <c r="KN76" s="262"/>
      <c r="KO76" s="262"/>
      <c r="KP76" s="262"/>
      <c r="KQ76" s="262"/>
      <c r="KR76" s="262"/>
      <c r="KS76" s="262"/>
      <c r="KT76" s="262"/>
      <c r="KU76" s="262"/>
      <c r="KV76" s="262"/>
      <c r="KW76" s="262"/>
      <c r="KX76" s="262"/>
      <c r="KY76" s="262"/>
      <c r="KZ76" s="262"/>
    </row>
    <row r="77" spans="1:312" s="106" customFormat="1" ht="50" customHeight="1">
      <c r="A77" s="263" t="s">
        <v>174</v>
      </c>
      <c r="B77" s="264"/>
      <c r="C77" s="86"/>
      <c r="D77" s="86"/>
      <c r="E77" s="60">
        <v>1599</v>
      </c>
      <c r="F77" s="86" t="e">
        <f t="shared" si="2"/>
        <v>#DIV/0!</v>
      </c>
      <c r="G77" s="87">
        <v>5</v>
      </c>
      <c r="H77" s="87">
        <v>8</v>
      </c>
      <c r="I77" s="87"/>
      <c r="J77" s="264" t="s">
        <v>204</v>
      </c>
      <c r="K77" s="265" t="s">
        <v>485</v>
      </c>
      <c r="L77" s="97" t="s">
        <v>689</v>
      </c>
      <c r="M77" s="98"/>
      <c r="N77" s="99" t="s">
        <v>335</v>
      </c>
      <c r="O77" s="99" t="s">
        <v>335</v>
      </c>
      <c r="P77" s="266"/>
      <c r="Q77" s="93" t="s">
        <v>689</v>
      </c>
      <c r="R77" s="93"/>
      <c r="S77" s="60">
        <v>1599</v>
      </c>
      <c r="T77" s="263">
        <f t="shared" si="3"/>
        <v>7995</v>
      </c>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c r="BW77" s="262"/>
      <c r="BX77" s="262"/>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2"/>
      <c r="CV77" s="262"/>
      <c r="CW77" s="262"/>
      <c r="CX77" s="262"/>
      <c r="CY77" s="262"/>
      <c r="CZ77" s="262"/>
      <c r="DA77" s="262"/>
      <c r="DB77" s="262"/>
      <c r="DC77" s="262"/>
      <c r="DD77" s="262"/>
      <c r="DE77" s="262"/>
      <c r="DF77" s="262"/>
      <c r="DG77" s="262"/>
      <c r="DH77" s="262"/>
      <c r="DI77" s="262"/>
      <c r="DJ77" s="262"/>
      <c r="DK77" s="262"/>
      <c r="DL77" s="262"/>
      <c r="DM77" s="262"/>
      <c r="DN77" s="262"/>
      <c r="DO77" s="262"/>
      <c r="DP77" s="262"/>
      <c r="DQ77" s="262"/>
      <c r="DR77" s="262"/>
      <c r="DS77" s="262"/>
      <c r="DT77" s="262"/>
      <c r="DU77" s="262"/>
      <c r="DV77" s="262"/>
      <c r="DW77" s="262"/>
      <c r="DX77" s="262"/>
      <c r="DY77" s="262"/>
      <c r="DZ77" s="262"/>
      <c r="EA77" s="262"/>
      <c r="EB77" s="262"/>
      <c r="EC77" s="262"/>
      <c r="ED77" s="262"/>
      <c r="EE77" s="262"/>
      <c r="EF77" s="262"/>
      <c r="EG77" s="262"/>
      <c r="EH77" s="262"/>
      <c r="EI77" s="262"/>
      <c r="EJ77" s="262"/>
      <c r="EK77" s="262"/>
      <c r="EL77" s="262"/>
      <c r="EM77" s="262"/>
      <c r="EN77" s="262"/>
      <c r="EO77" s="262"/>
      <c r="EP77" s="262"/>
      <c r="EQ77" s="262"/>
      <c r="ER77" s="262"/>
      <c r="ES77" s="262"/>
      <c r="ET77" s="262"/>
      <c r="EU77" s="262"/>
      <c r="EV77" s="262"/>
      <c r="EW77" s="262"/>
      <c r="EX77" s="262"/>
      <c r="EY77" s="262"/>
      <c r="EZ77" s="262"/>
      <c r="FA77" s="262"/>
      <c r="FB77" s="262"/>
      <c r="FC77" s="262"/>
      <c r="FD77" s="262"/>
      <c r="FE77" s="262"/>
      <c r="FF77" s="262"/>
      <c r="FG77" s="262"/>
      <c r="FH77" s="262"/>
      <c r="FI77" s="262"/>
      <c r="FJ77" s="262"/>
      <c r="FK77" s="262"/>
      <c r="FL77" s="262"/>
      <c r="FM77" s="262"/>
      <c r="FN77" s="262"/>
      <c r="FO77" s="262"/>
      <c r="FP77" s="262"/>
      <c r="FQ77" s="262"/>
      <c r="FR77" s="262"/>
      <c r="FS77" s="262"/>
      <c r="FT77" s="262"/>
      <c r="FU77" s="262"/>
      <c r="FV77" s="262"/>
      <c r="FW77" s="262"/>
      <c r="FX77" s="262"/>
      <c r="FY77" s="262"/>
      <c r="FZ77" s="262"/>
      <c r="GA77" s="262"/>
      <c r="GB77" s="262"/>
      <c r="GC77" s="262"/>
      <c r="GD77" s="262"/>
      <c r="GE77" s="262"/>
      <c r="GF77" s="262"/>
      <c r="GG77" s="262"/>
      <c r="GH77" s="262"/>
      <c r="GI77" s="262"/>
      <c r="GJ77" s="262"/>
      <c r="GK77" s="262"/>
      <c r="GL77" s="262"/>
      <c r="GM77" s="262"/>
      <c r="GN77" s="262"/>
      <c r="GO77" s="262"/>
      <c r="GP77" s="262"/>
      <c r="GQ77" s="262"/>
      <c r="GR77" s="262"/>
      <c r="GS77" s="262"/>
      <c r="GT77" s="262"/>
      <c r="GU77" s="262"/>
      <c r="GV77" s="262"/>
      <c r="GW77" s="262"/>
      <c r="GX77" s="262"/>
      <c r="GY77" s="262"/>
      <c r="GZ77" s="262"/>
      <c r="HA77" s="262"/>
      <c r="HB77" s="262"/>
      <c r="HC77" s="262"/>
      <c r="HD77" s="262"/>
      <c r="HE77" s="262"/>
      <c r="HF77" s="262"/>
      <c r="HG77" s="262"/>
      <c r="HH77" s="262"/>
      <c r="HI77" s="262"/>
      <c r="HJ77" s="262"/>
      <c r="HK77" s="262"/>
      <c r="HL77" s="262"/>
      <c r="HM77" s="262"/>
      <c r="HN77" s="262"/>
      <c r="HO77" s="262"/>
      <c r="HP77" s="262"/>
      <c r="HQ77" s="262"/>
      <c r="HR77" s="262"/>
      <c r="HS77" s="262"/>
      <c r="HT77" s="262"/>
      <c r="HU77" s="262"/>
      <c r="HV77" s="262"/>
      <c r="HW77" s="262"/>
      <c r="HX77" s="262"/>
      <c r="HY77" s="262"/>
      <c r="HZ77" s="262"/>
      <c r="IA77" s="262"/>
      <c r="IB77" s="262"/>
      <c r="IC77" s="262"/>
      <c r="ID77" s="262"/>
      <c r="IE77" s="262"/>
      <c r="IF77" s="262"/>
      <c r="IG77" s="262"/>
      <c r="IH77" s="262"/>
      <c r="II77" s="262"/>
      <c r="IJ77" s="262"/>
      <c r="IK77" s="262"/>
      <c r="IL77" s="262"/>
      <c r="IM77" s="262"/>
      <c r="IN77" s="262"/>
      <c r="IO77" s="262"/>
      <c r="IP77" s="262"/>
      <c r="IQ77" s="262"/>
      <c r="IR77" s="262"/>
      <c r="IS77" s="262"/>
      <c r="IT77" s="262"/>
      <c r="IU77" s="262"/>
      <c r="IV77" s="262"/>
      <c r="IW77" s="262"/>
      <c r="IX77" s="262"/>
      <c r="IY77" s="262"/>
      <c r="IZ77" s="262"/>
      <c r="JA77" s="262"/>
      <c r="JB77" s="262"/>
      <c r="JC77" s="262"/>
      <c r="JD77" s="262"/>
      <c r="JE77" s="262"/>
      <c r="JF77" s="262"/>
      <c r="JG77" s="262"/>
      <c r="JH77" s="262"/>
      <c r="JI77" s="262"/>
      <c r="JJ77" s="262"/>
      <c r="JK77" s="262"/>
      <c r="JL77" s="262"/>
      <c r="JM77" s="262"/>
      <c r="JN77" s="262"/>
      <c r="JO77" s="262"/>
      <c r="JP77" s="262"/>
      <c r="JQ77" s="262"/>
      <c r="JR77" s="262"/>
      <c r="JS77" s="262"/>
      <c r="JT77" s="262"/>
      <c r="JU77" s="262"/>
      <c r="JV77" s="262"/>
      <c r="JW77" s="262"/>
      <c r="JX77" s="262"/>
      <c r="JY77" s="262"/>
      <c r="JZ77" s="262"/>
      <c r="KA77" s="262"/>
      <c r="KB77" s="262"/>
      <c r="KC77" s="262"/>
      <c r="KD77" s="262"/>
      <c r="KE77" s="262"/>
      <c r="KF77" s="262"/>
      <c r="KG77" s="262"/>
      <c r="KH77" s="262"/>
      <c r="KI77" s="262"/>
      <c r="KJ77" s="262"/>
      <c r="KK77" s="262"/>
      <c r="KL77" s="262"/>
      <c r="KM77" s="262"/>
      <c r="KN77" s="262"/>
      <c r="KO77" s="262"/>
      <c r="KP77" s="262"/>
      <c r="KQ77" s="262"/>
      <c r="KR77" s="262"/>
      <c r="KS77" s="262"/>
      <c r="KT77" s="262"/>
      <c r="KU77" s="262"/>
      <c r="KV77" s="262"/>
      <c r="KW77" s="262"/>
      <c r="KX77" s="262"/>
      <c r="KY77" s="262"/>
      <c r="KZ77" s="262"/>
    </row>
    <row r="78" spans="1:312" s="85" customFormat="1" ht="50" customHeight="1">
      <c r="A78" s="263" t="s">
        <v>195</v>
      </c>
      <c r="B78" s="264"/>
      <c r="C78" s="86"/>
      <c r="D78" s="86"/>
      <c r="E78" s="60">
        <v>1599</v>
      </c>
      <c r="F78" s="86" t="e">
        <f t="shared" si="2"/>
        <v>#DIV/0!</v>
      </c>
      <c r="G78" s="87">
        <v>5</v>
      </c>
      <c r="H78" s="87">
        <v>8</v>
      </c>
      <c r="I78" s="264"/>
      <c r="J78" s="87" t="s">
        <v>204</v>
      </c>
      <c r="K78" s="265" t="s">
        <v>523</v>
      </c>
      <c r="L78" s="97" t="s">
        <v>689</v>
      </c>
      <c r="M78" s="98"/>
      <c r="N78" s="99" t="s">
        <v>335</v>
      </c>
      <c r="O78" s="99" t="s">
        <v>335</v>
      </c>
      <c r="P78" s="266"/>
      <c r="Q78" s="93" t="s">
        <v>689</v>
      </c>
      <c r="R78" s="93"/>
      <c r="S78" s="60">
        <v>1599</v>
      </c>
      <c r="T78" s="263">
        <f t="shared" si="3"/>
        <v>7995</v>
      </c>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c r="DM78" s="262"/>
      <c r="DN78" s="262"/>
      <c r="DO78" s="262"/>
      <c r="DP78" s="262"/>
      <c r="DQ78" s="262"/>
      <c r="DR78" s="262"/>
      <c r="DS78" s="262"/>
      <c r="DT78" s="262"/>
      <c r="DU78" s="262"/>
      <c r="DV78" s="262"/>
      <c r="DW78" s="262"/>
      <c r="DX78" s="262"/>
      <c r="DY78" s="262"/>
      <c r="DZ78" s="262"/>
      <c r="EA78" s="262"/>
      <c r="EB78" s="262"/>
      <c r="EC78" s="262"/>
      <c r="ED78" s="262"/>
      <c r="EE78" s="262"/>
      <c r="EF78" s="262"/>
      <c r="EG78" s="262"/>
      <c r="EH78" s="262"/>
      <c r="EI78" s="262"/>
      <c r="EJ78" s="262"/>
      <c r="EK78" s="262"/>
      <c r="EL78" s="262"/>
      <c r="EM78" s="262"/>
      <c r="EN78" s="262"/>
      <c r="EO78" s="262"/>
      <c r="EP78" s="262"/>
      <c r="EQ78" s="262"/>
      <c r="ER78" s="262"/>
      <c r="ES78" s="262"/>
      <c r="ET78" s="262"/>
      <c r="EU78" s="262"/>
      <c r="EV78" s="262"/>
      <c r="EW78" s="262"/>
      <c r="EX78" s="262"/>
      <c r="EY78" s="262"/>
      <c r="EZ78" s="262"/>
      <c r="FA78" s="262"/>
      <c r="FB78" s="262"/>
      <c r="FC78" s="262"/>
      <c r="FD78" s="262"/>
      <c r="FE78" s="262"/>
      <c r="FF78" s="262"/>
      <c r="FG78" s="262"/>
      <c r="FH78" s="262"/>
      <c r="FI78" s="262"/>
      <c r="FJ78" s="262"/>
      <c r="FK78" s="262"/>
      <c r="FL78" s="262"/>
      <c r="FM78" s="262"/>
      <c r="FN78" s="262"/>
      <c r="FO78" s="262"/>
      <c r="FP78" s="262"/>
      <c r="FQ78" s="262"/>
      <c r="FR78" s="262"/>
      <c r="FS78" s="262"/>
      <c r="FT78" s="262"/>
      <c r="FU78" s="262"/>
      <c r="FV78" s="262"/>
      <c r="FW78" s="262"/>
      <c r="FX78" s="262"/>
      <c r="FY78" s="262"/>
      <c r="FZ78" s="262"/>
      <c r="GA78" s="262"/>
      <c r="GB78" s="262"/>
      <c r="GC78" s="262"/>
      <c r="GD78" s="262"/>
      <c r="GE78" s="262"/>
      <c r="GF78" s="262"/>
      <c r="GG78" s="262"/>
      <c r="GH78" s="262"/>
      <c r="GI78" s="262"/>
      <c r="GJ78" s="262"/>
      <c r="GK78" s="262"/>
      <c r="GL78" s="262"/>
      <c r="GM78" s="262"/>
      <c r="GN78" s="262"/>
      <c r="GO78" s="262"/>
      <c r="GP78" s="262"/>
      <c r="GQ78" s="262"/>
      <c r="GR78" s="262"/>
      <c r="GS78" s="262"/>
      <c r="GT78" s="262"/>
      <c r="GU78" s="262"/>
      <c r="GV78" s="262"/>
      <c r="GW78" s="262"/>
      <c r="GX78" s="262"/>
      <c r="GY78" s="262"/>
      <c r="GZ78" s="262"/>
      <c r="HA78" s="262"/>
      <c r="HB78" s="262"/>
      <c r="HC78" s="262"/>
      <c r="HD78" s="262"/>
      <c r="HE78" s="262"/>
      <c r="HF78" s="262"/>
      <c r="HG78" s="262"/>
      <c r="HH78" s="262"/>
      <c r="HI78" s="262"/>
      <c r="HJ78" s="262"/>
      <c r="HK78" s="262"/>
      <c r="HL78" s="262"/>
      <c r="HM78" s="262"/>
      <c r="HN78" s="262"/>
      <c r="HO78" s="262"/>
      <c r="HP78" s="262"/>
      <c r="HQ78" s="262"/>
      <c r="HR78" s="262"/>
      <c r="HS78" s="262"/>
      <c r="HT78" s="262"/>
      <c r="HU78" s="262"/>
      <c r="HV78" s="262"/>
      <c r="HW78" s="262"/>
      <c r="HX78" s="262"/>
      <c r="HY78" s="262"/>
      <c r="HZ78" s="262"/>
      <c r="IA78" s="262"/>
      <c r="IB78" s="262"/>
      <c r="IC78" s="262"/>
      <c r="ID78" s="262"/>
      <c r="IE78" s="262"/>
      <c r="IF78" s="262"/>
      <c r="IG78" s="262"/>
      <c r="IH78" s="262"/>
      <c r="II78" s="262"/>
      <c r="IJ78" s="262"/>
      <c r="IK78" s="262"/>
      <c r="IL78" s="262"/>
      <c r="IM78" s="262"/>
      <c r="IN78" s="262"/>
      <c r="IO78" s="262"/>
      <c r="IP78" s="262"/>
      <c r="IQ78" s="262"/>
      <c r="IR78" s="262"/>
      <c r="IS78" s="262"/>
      <c r="IT78" s="262"/>
      <c r="IU78" s="262"/>
      <c r="IV78" s="262"/>
      <c r="IW78" s="262"/>
      <c r="IX78" s="262"/>
      <c r="IY78" s="262"/>
      <c r="IZ78" s="262"/>
      <c r="JA78" s="262"/>
      <c r="JB78" s="262"/>
      <c r="JC78" s="262"/>
      <c r="JD78" s="262"/>
      <c r="JE78" s="262"/>
      <c r="JF78" s="262"/>
      <c r="JG78" s="262"/>
      <c r="JH78" s="262"/>
      <c r="JI78" s="262"/>
      <c r="JJ78" s="262"/>
      <c r="JK78" s="262"/>
      <c r="JL78" s="262"/>
      <c r="JM78" s="262"/>
      <c r="JN78" s="262"/>
      <c r="JO78" s="262"/>
      <c r="JP78" s="262"/>
      <c r="JQ78" s="262"/>
      <c r="JR78" s="262"/>
      <c r="JS78" s="262"/>
      <c r="JT78" s="262"/>
      <c r="JU78" s="262"/>
      <c r="JV78" s="262"/>
      <c r="JW78" s="262"/>
      <c r="JX78" s="262"/>
      <c r="JY78" s="262"/>
      <c r="JZ78" s="262"/>
      <c r="KA78" s="262"/>
      <c r="KB78" s="262"/>
      <c r="KC78" s="262"/>
      <c r="KD78" s="262"/>
      <c r="KE78" s="262"/>
      <c r="KF78" s="262"/>
      <c r="KG78" s="262"/>
      <c r="KH78" s="262"/>
      <c r="KI78" s="262"/>
      <c r="KJ78" s="262"/>
      <c r="KK78" s="262"/>
      <c r="KL78" s="262"/>
      <c r="KM78" s="262"/>
      <c r="KN78" s="262"/>
      <c r="KO78" s="262"/>
      <c r="KP78" s="262"/>
      <c r="KQ78" s="262"/>
      <c r="KR78" s="262"/>
      <c r="KS78" s="262"/>
      <c r="KT78" s="262"/>
      <c r="KU78" s="262"/>
      <c r="KV78" s="262"/>
      <c r="KW78" s="262"/>
      <c r="KX78" s="262"/>
      <c r="KY78" s="262"/>
      <c r="KZ78" s="262"/>
    </row>
    <row r="79" spans="1:312" s="85" customFormat="1" ht="50" customHeight="1">
      <c r="A79" s="263" t="s">
        <v>107</v>
      </c>
      <c r="B79" s="264">
        <v>518506</v>
      </c>
      <c r="C79" s="86">
        <v>3302</v>
      </c>
      <c r="D79" s="86">
        <v>877</v>
      </c>
      <c r="E79" s="60">
        <v>1599</v>
      </c>
      <c r="F79" s="86">
        <f t="shared" si="2"/>
        <v>3.7651083238312428</v>
      </c>
      <c r="G79" s="87">
        <v>5</v>
      </c>
      <c r="H79" s="87">
        <v>7</v>
      </c>
      <c r="I79" s="87"/>
      <c r="J79" s="92" t="s">
        <v>707</v>
      </c>
      <c r="K79" s="89" t="s">
        <v>271</v>
      </c>
      <c r="L79" s="90" t="s">
        <v>689</v>
      </c>
      <c r="M79" s="94"/>
      <c r="N79" s="91" t="s">
        <v>335</v>
      </c>
      <c r="O79" s="91" t="s">
        <v>335</v>
      </c>
      <c r="P79" s="92"/>
      <c r="Q79" s="95" t="s">
        <v>689</v>
      </c>
      <c r="R79" s="95"/>
      <c r="S79" s="60">
        <v>1599</v>
      </c>
      <c r="T79" s="263">
        <f t="shared" si="3"/>
        <v>7995</v>
      </c>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2"/>
      <c r="CV79" s="262"/>
      <c r="CW79" s="262"/>
      <c r="CX79" s="262"/>
      <c r="CY79" s="262"/>
      <c r="CZ79" s="262"/>
      <c r="DA79" s="262"/>
      <c r="DB79" s="262"/>
      <c r="DC79" s="262"/>
      <c r="DD79" s="262"/>
      <c r="DE79" s="262"/>
      <c r="DF79" s="262"/>
      <c r="DG79" s="262"/>
      <c r="DH79" s="262"/>
      <c r="DI79" s="262"/>
      <c r="DJ79" s="262"/>
      <c r="DK79" s="262"/>
      <c r="DL79" s="262"/>
      <c r="DM79" s="262"/>
      <c r="DN79" s="262"/>
      <c r="DO79" s="262"/>
      <c r="DP79" s="262"/>
      <c r="DQ79" s="262"/>
      <c r="DR79" s="262"/>
      <c r="DS79" s="262"/>
      <c r="DT79" s="262"/>
      <c r="DU79" s="262"/>
      <c r="DV79" s="262"/>
      <c r="DW79" s="262"/>
      <c r="DX79" s="262"/>
      <c r="DY79" s="262"/>
      <c r="DZ79" s="262"/>
      <c r="EA79" s="262"/>
      <c r="EB79" s="262"/>
      <c r="EC79" s="262"/>
      <c r="ED79" s="262"/>
      <c r="EE79" s="262"/>
      <c r="EF79" s="262"/>
      <c r="EG79" s="262"/>
      <c r="EH79" s="262"/>
      <c r="EI79" s="262"/>
      <c r="EJ79" s="262"/>
      <c r="EK79" s="262"/>
      <c r="EL79" s="262"/>
      <c r="EM79" s="262"/>
      <c r="EN79" s="262"/>
      <c r="EO79" s="262"/>
      <c r="EP79" s="262"/>
      <c r="EQ79" s="262"/>
      <c r="ER79" s="262"/>
      <c r="ES79" s="262"/>
      <c r="ET79" s="262"/>
      <c r="EU79" s="262"/>
      <c r="EV79" s="262"/>
      <c r="EW79" s="262"/>
      <c r="EX79" s="262"/>
      <c r="EY79" s="262"/>
      <c r="EZ79" s="262"/>
      <c r="FA79" s="262"/>
      <c r="FB79" s="262"/>
      <c r="FC79" s="262"/>
      <c r="FD79" s="262"/>
      <c r="FE79" s="262"/>
      <c r="FF79" s="262"/>
      <c r="FG79" s="262"/>
      <c r="FH79" s="262"/>
      <c r="FI79" s="262"/>
      <c r="FJ79" s="262"/>
      <c r="FK79" s="262"/>
      <c r="FL79" s="262"/>
      <c r="FM79" s="262"/>
      <c r="FN79" s="262"/>
      <c r="FO79" s="262"/>
      <c r="FP79" s="262"/>
      <c r="FQ79" s="262"/>
      <c r="FR79" s="262"/>
      <c r="FS79" s="262"/>
      <c r="FT79" s="262"/>
      <c r="FU79" s="262"/>
      <c r="FV79" s="262"/>
      <c r="FW79" s="262"/>
      <c r="FX79" s="262"/>
      <c r="FY79" s="262"/>
      <c r="FZ79" s="262"/>
      <c r="GA79" s="262"/>
      <c r="GB79" s="262"/>
      <c r="GC79" s="262"/>
      <c r="GD79" s="262"/>
      <c r="GE79" s="262"/>
      <c r="GF79" s="262"/>
      <c r="GG79" s="262"/>
      <c r="GH79" s="262"/>
      <c r="GI79" s="262"/>
      <c r="GJ79" s="262"/>
      <c r="GK79" s="262"/>
      <c r="GL79" s="262"/>
      <c r="GM79" s="262"/>
      <c r="GN79" s="262"/>
      <c r="GO79" s="262"/>
      <c r="GP79" s="262"/>
      <c r="GQ79" s="262"/>
      <c r="GR79" s="262"/>
      <c r="GS79" s="262"/>
      <c r="GT79" s="262"/>
      <c r="GU79" s="262"/>
      <c r="GV79" s="262"/>
      <c r="GW79" s="262"/>
      <c r="GX79" s="262"/>
      <c r="GY79" s="262"/>
      <c r="GZ79" s="262"/>
      <c r="HA79" s="262"/>
      <c r="HB79" s="262"/>
      <c r="HC79" s="262"/>
      <c r="HD79" s="262"/>
      <c r="HE79" s="262"/>
      <c r="HF79" s="262"/>
      <c r="HG79" s="262"/>
      <c r="HH79" s="262"/>
      <c r="HI79" s="262"/>
      <c r="HJ79" s="262"/>
      <c r="HK79" s="262"/>
      <c r="HL79" s="262"/>
      <c r="HM79" s="262"/>
      <c r="HN79" s="262"/>
      <c r="HO79" s="262"/>
      <c r="HP79" s="262"/>
      <c r="HQ79" s="262"/>
      <c r="HR79" s="262"/>
      <c r="HS79" s="262"/>
      <c r="HT79" s="262"/>
      <c r="HU79" s="262"/>
      <c r="HV79" s="262"/>
      <c r="HW79" s="262"/>
      <c r="HX79" s="262"/>
      <c r="HY79" s="262"/>
      <c r="HZ79" s="262"/>
      <c r="IA79" s="262"/>
      <c r="IB79" s="262"/>
      <c r="IC79" s="262"/>
      <c r="ID79" s="262"/>
      <c r="IE79" s="262"/>
      <c r="IF79" s="262"/>
      <c r="IG79" s="262"/>
      <c r="IH79" s="262"/>
      <c r="II79" s="262"/>
      <c r="IJ79" s="262"/>
      <c r="IK79" s="262"/>
      <c r="IL79" s="262"/>
      <c r="IM79" s="262"/>
      <c r="IN79" s="262"/>
      <c r="IO79" s="262"/>
      <c r="IP79" s="262"/>
      <c r="IQ79" s="262"/>
      <c r="IR79" s="262"/>
      <c r="IS79" s="262"/>
      <c r="IT79" s="262"/>
      <c r="IU79" s="262"/>
      <c r="IV79" s="262"/>
      <c r="IW79" s="262"/>
      <c r="IX79" s="262"/>
      <c r="IY79" s="262"/>
      <c r="IZ79" s="262"/>
      <c r="JA79" s="262"/>
      <c r="JB79" s="262"/>
      <c r="JC79" s="262"/>
      <c r="JD79" s="262"/>
      <c r="JE79" s="262"/>
      <c r="JF79" s="262"/>
      <c r="JG79" s="262"/>
      <c r="JH79" s="262"/>
      <c r="JI79" s="262"/>
      <c r="JJ79" s="262"/>
      <c r="JK79" s="262"/>
      <c r="JL79" s="262"/>
      <c r="JM79" s="262"/>
      <c r="JN79" s="262"/>
      <c r="JO79" s="262"/>
      <c r="JP79" s="262"/>
      <c r="JQ79" s="262"/>
      <c r="JR79" s="262"/>
      <c r="JS79" s="262"/>
      <c r="JT79" s="262"/>
      <c r="JU79" s="262"/>
      <c r="JV79" s="262"/>
      <c r="JW79" s="262"/>
      <c r="JX79" s="262"/>
      <c r="JY79" s="262"/>
      <c r="JZ79" s="262"/>
      <c r="KA79" s="262"/>
      <c r="KB79" s="262"/>
      <c r="KC79" s="262"/>
      <c r="KD79" s="262"/>
      <c r="KE79" s="262"/>
      <c r="KF79" s="262"/>
      <c r="KG79" s="262"/>
      <c r="KH79" s="262"/>
      <c r="KI79" s="262"/>
      <c r="KJ79" s="262"/>
      <c r="KK79" s="262"/>
      <c r="KL79" s="262"/>
      <c r="KM79" s="262"/>
      <c r="KN79" s="262"/>
      <c r="KO79" s="262"/>
      <c r="KP79" s="262"/>
      <c r="KQ79" s="262"/>
      <c r="KR79" s="262"/>
      <c r="KS79" s="262"/>
      <c r="KT79" s="262"/>
      <c r="KU79" s="262"/>
      <c r="KV79" s="262"/>
      <c r="KW79" s="262"/>
      <c r="KX79" s="262"/>
      <c r="KY79" s="262"/>
      <c r="KZ79" s="262"/>
    </row>
    <row r="80" spans="1:312" s="85" customFormat="1" ht="50" customHeight="1">
      <c r="A80" s="263" t="s">
        <v>89</v>
      </c>
      <c r="B80" s="264"/>
      <c r="C80" s="86"/>
      <c r="D80" s="86"/>
      <c r="E80" s="60">
        <v>1599</v>
      </c>
      <c r="F80" s="86" t="e">
        <f t="shared" si="2"/>
        <v>#DIV/0!</v>
      </c>
      <c r="G80" s="87">
        <v>5</v>
      </c>
      <c r="H80" s="87">
        <v>7</v>
      </c>
      <c r="I80" s="87"/>
      <c r="J80" s="87" t="s">
        <v>217</v>
      </c>
      <c r="K80" s="89" t="s">
        <v>221</v>
      </c>
      <c r="L80" s="90" t="s">
        <v>689</v>
      </c>
      <c r="M80" s="94"/>
      <c r="N80" s="91" t="s">
        <v>335</v>
      </c>
      <c r="O80" s="91" t="s">
        <v>335</v>
      </c>
      <c r="P80" s="92"/>
      <c r="Q80" s="93" t="s">
        <v>689</v>
      </c>
      <c r="R80" s="95"/>
      <c r="S80" s="60">
        <v>1599</v>
      </c>
      <c r="T80" s="263">
        <f t="shared" si="3"/>
        <v>7995</v>
      </c>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2"/>
      <c r="CV80" s="262"/>
      <c r="CW80" s="262"/>
      <c r="CX80" s="262"/>
      <c r="CY80" s="262"/>
      <c r="CZ80" s="262"/>
      <c r="DA80" s="262"/>
      <c r="DB80" s="262"/>
      <c r="DC80" s="262"/>
      <c r="DD80" s="262"/>
      <c r="DE80" s="262"/>
      <c r="DF80" s="262"/>
      <c r="DG80" s="262"/>
      <c r="DH80" s="262"/>
      <c r="DI80" s="262"/>
      <c r="DJ80" s="262"/>
      <c r="DK80" s="262"/>
      <c r="DL80" s="262"/>
      <c r="DM80" s="262"/>
      <c r="DN80" s="262"/>
      <c r="DO80" s="262"/>
      <c r="DP80" s="262"/>
      <c r="DQ80" s="262"/>
      <c r="DR80" s="262"/>
      <c r="DS80" s="262"/>
      <c r="DT80" s="262"/>
      <c r="DU80" s="262"/>
      <c r="DV80" s="262"/>
      <c r="DW80" s="262"/>
      <c r="DX80" s="262"/>
      <c r="DY80" s="262"/>
      <c r="DZ80" s="262"/>
      <c r="EA80" s="262"/>
      <c r="EB80" s="262"/>
      <c r="EC80" s="262"/>
      <c r="ED80" s="262"/>
      <c r="EE80" s="262"/>
      <c r="EF80" s="262"/>
      <c r="EG80" s="262"/>
      <c r="EH80" s="262"/>
      <c r="EI80" s="262"/>
      <c r="EJ80" s="262"/>
      <c r="EK80" s="262"/>
      <c r="EL80" s="262"/>
      <c r="EM80" s="262"/>
      <c r="EN80" s="262"/>
      <c r="EO80" s="262"/>
      <c r="EP80" s="262"/>
      <c r="EQ80" s="262"/>
      <c r="ER80" s="262"/>
      <c r="ES80" s="262"/>
      <c r="ET80" s="262"/>
      <c r="EU80" s="262"/>
      <c r="EV80" s="262"/>
      <c r="EW80" s="262"/>
      <c r="EX80" s="262"/>
      <c r="EY80" s="262"/>
      <c r="EZ80" s="262"/>
      <c r="FA80" s="262"/>
      <c r="FB80" s="262"/>
      <c r="FC80" s="262"/>
      <c r="FD80" s="262"/>
      <c r="FE80" s="262"/>
      <c r="FF80" s="262"/>
      <c r="FG80" s="262"/>
      <c r="FH80" s="262"/>
      <c r="FI80" s="262"/>
      <c r="FJ80" s="262"/>
      <c r="FK80" s="262"/>
      <c r="FL80" s="262"/>
      <c r="FM80" s="262"/>
      <c r="FN80" s="262"/>
      <c r="FO80" s="262"/>
      <c r="FP80" s="262"/>
      <c r="FQ80" s="262"/>
      <c r="FR80" s="262"/>
      <c r="FS80" s="262"/>
      <c r="FT80" s="262"/>
      <c r="FU80" s="262"/>
      <c r="FV80" s="262"/>
      <c r="FW80" s="262"/>
      <c r="FX80" s="262"/>
      <c r="FY80" s="262"/>
      <c r="FZ80" s="262"/>
      <c r="GA80" s="262"/>
      <c r="GB80" s="262"/>
      <c r="GC80" s="262"/>
      <c r="GD80" s="262"/>
      <c r="GE80" s="262"/>
      <c r="GF80" s="262"/>
      <c r="GG80" s="262"/>
      <c r="GH80" s="262"/>
      <c r="GI80" s="262"/>
      <c r="GJ80" s="262"/>
      <c r="GK80" s="262"/>
      <c r="GL80" s="262"/>
      <c r="GM80" s="262"/>
      <c r="GN80" s="262"/>
      <c r="GO80" s="262"/>
      <c r="GP80" s="262"/>
      <c r="GQ80" s="262"/>
      <c r="GR80" s="262"/>
      <c r="GS80" s="262"/>
      <c r="GT80" s="262"/>
      <c r="GU80" s="262"/>
      <c r="GV80" s="262"/>
      <c r="GW80" s="262"/>
      <c r="GX80" s="262"/>
      <c r="GY80" s="262"/>
      <c r="GZ80" s="262"/>
      <c r="HA80" s="262"/>
      <c r="HB80" s="262"/>
      <c r="HC80" s="262"/>
      <c r="HD80" s="262"/>
      <c r="HE80" s="262"/>
      <c r="HF80" s="262"/>
      <c r="HG80" s="262"/>
      <c r="HH80" s="262"/>
      <c r="HI80" s="262"/>
      <c r="HJ80" s="262"/>
      <c r="HK80" s="262"/>
      <c r="HL80" s="262"/>
      <c r="HM80" s="262"/>
      <c r="HN80" s="262"/>
      <c r="HO80" s="262"/>
      <c r="HP80" s="262"/>
      <c r="HQ80" s="262"/>
      <c r="HR80" s="262"/>
      <c r="HS80" s="262"/>
      <c r="HT80" s="262"/>
      <c r="HU80" s="262"/>
      <c r="HV80" s="262"/>
      <c r="HW80" s="262"/>
      <c r="HX80" s="262"/>
      <c r="HY80" s="262"/>
      <c r="HZ80" s="262"/>
      <c r="IA80" s="262"/>
      <c r="IB80" s="262"/>
      <c r="IC80" s="262"/>
      <c r="ID80" s="262"/>
      <c r="IE80" s="262"/>
      <c r="IF80" s="262"/>
      <c r="IG80" s="262"/>
      <c r="IH80" s="262"/>
      <c r="II80" s="262"/>
      <c r="IJ80" s="262"/>
      <c r="IK80" s="262"/>
      <c r="IL80" s="262"/>
      <c r="IM80" s="262"/>
      <c r="IN80" s="262"/>
      <c r="IO80" s="262"/>
      <c r="IP80" s="262"/>
      <c r="IQ80" s="262"/>
      <c r="IR80" s="262"/>
      <c r="IS80" s="262"/>
      <c r="IT80" s="262"/>
      <c r="IU80" s="262"/>
      <c r="IV80" s="262"/>
      <c r="IW80" s="262"/>
      <c r="IX80" s="262"/>
      <c r="IY80" s="262"/>
      <c r="IZ80" s="262"/>
      <c r="JA80" s="262"/>
      <c r="JB80" s="262"/>
      <c r="JC80" s="262"/>
      <c r="JD80" s="262"/>
      <c r="JE80" s="262"/>
      <c r="JF80" s="262"/>
      <c r="JG80" s="262"/>
      <c r="JH80" s="262"/>
      <c r="JI80" s="262"/>
      <c r="JJ80" s="262"/>
      <c r="JK80" s="262"/>
      <c r="JL80" s="262"/>
      <c r="JM80" s="262"/>
      <c r="JN80" s="262"/>
      <c r="JO80" s="262"/>
      <c r="JP80" s="262"/>
      <c r="JQ80" s="262"/>
      <c r="JR80" s="262"/>
      <c r="JS80" s="262"/>
      <c r="JT80" s="262"/>
      <c r="JU80" s="262"/>
      <c r="JV80" s="262"/>
      <c r="JW80" s="262"/>
      <c r="JX80" s="262"/>
      <c r="JY80" s="262"/>
      <c r="JZ80" s="262"/>
      <c r="KA80" s="262"/>
      <c r="KB80" s="262"/>
      <c r="KC80" s="262"/>
      <c r="KD80" s="262"/>
      <c r="KE80" s="262"/>
      <c r="KF80" s="262"/>
      <c r="KG80" s="262"/>
      <c r="KH80" s="262"/>
      <c r="KI80" s="262"/>
      <c r="KJ80" s="262"/>
      <c r="KK80" s="262"/>
      <c r="KL80" s="262"/>
      <c r="KM80" s="262"/>
      <c r="KN80" s="262"/>
      <c r="KO80" s="262"/>
      <c r="KP80" s="262"/>
      <c r="KQ80" s="262"/>
      <c r="KR80" s="262"/>
      <c r="KS80" s="262"/>
      <c r="KT80" s="262"/>
      <c r="KU80" s="262"/>
      <c r="KV80" s="262"/>
      <c r="KW80" s="262"/>
      <c r="KX80" s="262"/>
      <c r="KY80" s="262"/>
      <c r="KZ80" s="262"/>
    </row>
    <row r="81" spans="1:312" s="85" customFormat="1" ht="50" customHeight="1">
      <c r="A81" s="263" t="s">
        <v>471</v>
      </c>
      <c r="B81" s="264"/>
      <c r="C81" s="86"/>
      <c r="D81" s="86"/>
      <c r="E81" s="60">
        <v>68</v>
      </c>
      <c r="F81" s="86" t="e">
        <f t="shared" si="2"/>
        <v>#DIV/0!</v>
      </c>
      <c r="G81" s="87">
        <v>5</v>
      </c>
      <c r="H81" s="87">
        <v>7</v>
      </c>
      <c r="I81" s="87"/>
      <c r="J81" s="264" t="s">
        <v>217</v>
      </c>
      <c r="K81" s="265" t="s">
        <v>472</v>
      </c>
      <c r="L81" s="98"/>
      <c r="M81" s="98"/>
      <c r="N81" s="99"/>
      <c r="O81" s="99" t="s">
        <v>335</v>
      </c>
      <c r="P81" s="266"/>
      <c r="Q81" s="93" t="s">
        <v>689</v>
      </c>
      <c r="R81" s="93"/>
      <c r="S81" s="60">
        <v>68</v>
      </c>
      <c r="T81" s="263">
        <f t="shared" si="3"/>
        <v>340</v>
      </c>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c r="DA81" s="262"/>
      <c r="DB81" s="262"/>
      <c r="DC81" s="262"/>
      <c r="DD81" s="262"/>
      <c r="DE81" s="262"/>
      <c r="DF81" s="262"/>
      <c r="DG81" s="262"/>
      <c r="DH81" s="262"/>
      <c r="DI81" s="262"/>
      <c r="DJ81" s="262"/>
      <c r="DK81" s="262"/>
      <c r="DL81" s="262"/>
      <c r="DM81" s="262"/>
      <c r="DN81" s="262"/>
      <c r="DO81" s="262"/>
      <c r="DP81" s="262"/>
      <c r="DQ81" s="262"/>
      <c r="DR81" s="262"/>
      <c r="DS81" s="262"/>
      <c r="DT81" s="262"/>
      <c r="DU81" s="262"/>
      <c r="DV81" s="262"/>
      <c r="DW81" s="262"/>
      <c r="DX81" s="262"/>
      <c r="DY81" s="262"/>
      <c r="DZ81" s="262"/>
      <c r="EA81" s="262"/>
      <c r="EB81" s="262"/>
      <c r="EC81" s="262"/>
      <c r="ED81" s="262"/>
      <c r="EE81" s="262"/>
      <c r="EF81" s="262"/>
      <c r="EG81" s="262"/>
      <c r="EH81" s="262"/>
      <c r="EI81" s="262"/>
      <c r="EJ81" s="262"/>
      <c r="EK81" s="262"/>
      <c r="EL81" s="262"/>
      <c r="EM81" s="262"/>
      <c r="EN81" s="262"/>
      <c r="EO81" s="262"/>
      <c r="EP81" s="262"/>
      <c r="EQ81" s="262"/>
      <c r="ER81" s="262"/>
      <c r="ES81" s="262"/>
      <c r="ET81" s="262"/>
      <c r="EU81" s="262"/>
      <c r="EV81" s="262"/>
      <c r="EW81" s="262"/>
      <c r="EX81" s="262"/>
      <c r="EY81" s="262"/>
      <c r="EZ81" s="262"/>
      <c r="FA81" s="262"/>
      <c r="FB81" s="262"/>
      <c r="FC81" s="262"/>
      <c r="FD81" s="262"/>
      <c r="FE81" s="262"/>
      <c r="FF81" s="262"/>
      <c r="FG81" s="262"/>
      <c r="FH81" s="262"/>
      <c r="FI81" s="262"/>
      <c r="FJ81" s="262"/>
      <c r="FK81" s="262"/>
      <c r="FL81" s="262"/>
      <c r="FM81" s="262"/>
      <c r="FN81" s="262"/>
      <c r="FO81" s="262"/>
      <c r="FP81" s="262"/>
      <c r="FQ81" s="262"/>
      <c r="FR81" s="262"/>
      <c r="FS81" s="262"/>
      <c r="FT81" s="262"/>
      <c r="FU81" s="262"/>
      <c r="FV81" s="262"/>
      <c r="FW81" s="262"/>
      <c r="FX81" s="262"/>
      <c r="FY81" s="262"/>
      <c r="FZ81" s="262"/>
      <c r="GA81" s="262"/>
      <c r="GB81" s="262"/>
      <c r="GC81" s="262"/>
      <c r="GD81" s="262"/>
      <c r="GE81" s="262"/>
      <c r="GF81" s="262"/>
      <c r="GG81" s="262"/>
      <c r="GH81" s="262"/>
      <c r="GI81" s="262"/>
      <c r="GJ81" s="262"/>
      <c r="GK81" s="262"/>
      <c r="GL81" s="262"/>
      <c r="GM81" s="262"/>
      <c r="GN81" s="262"/>
      <c r="GO81" s="262"/>
      <c r="GP81" s="262"/>
      <c r="GQ81" s="262"/>
      <c r="GR81" s="262"/>
      <c r="GS81" s="262"/>
      <c r="GT81" s="262"/>
      <c r="GU81" s="262"/>
      <c r="GV81" s="262"/>
      <c r="GW81" s="262"/>
      <c r="GX81" s="262"/>
      <c r="GY81" s="262"/>
      <c r="GZ81" s="262"/>
      <c r="HA81" s="262"/>
      <c r="HB81" s="262"/>
      <c r="HC81" s="262"/>
      <c r="HD81" s="262"/>
      <c r="HE81" s="262"/>
      <c r="HF81" s="262"/>
      <c r="HG81" s="262"/>
      <c r="HH81" s="262"/>
      <c r="HI81" s="262"/>
      <c r="HJ81" s="262"/>
      <c r="HK81" s="262"/>
      <c r="HL81" s="262"/>
      <c r="HM81" s="262"/>
      <c r="HN81" s="262"/>
      <c r="HO81" s="262"/>
      <c r="HP81" s="262"/>
      <c r="HQ81" s="262"/>
      <c r="HR81" s="262"/>
      <c r="HS81" s="262"/>
      <c r="HT81" s="262"/>
      <c r="HU81" s="262"/>
      <c r="HV81" s="262"/>
      <c r="HW81" s="262"/>
      <c r="HX81" s="262"/>
      <c r="HY81" s="262"/>
      <c r="HZ81" s="262"/>
      <c r="IA81" s="262"/>
      <c r="IB81" s="262"/>
      <c r="IC81" s="262"/>
      <c r="ID81" s="262"/>
      <c r="IE81" s="262"/>
      <c r="IF81" s="262"/>
      <c r="IG81" s="262"/>
      <c r="IH81" s="262"/>
      <c r="II81" s="262"/>
      <c r="IJ81" s="262"/>
      <c r="IK81" s="262"/>
      <c r="IL81" s="262"/>
      <c r="IM81" s="262"/>
      <c r="IN81" s="262"/>
      <c r="IO81" s="262"/>
      <c r="IP81" s="262"/>
      <c r="IQ81" s="262"/>
      <c r="IR81" s="262"/>
      <c r="IS81" s="262"/>
      <c r="IT81" s="262"/>
      <c r="IU81" s="262"/>
      <c r="IV81" s="262"/>
      <c r="IW81" s="262"/>
      <c r="IX81" s="262"/>
      <c r="IY81" s="262"/>
      <c r="IZ81" s="262"/>
      <c r="JA81" s="262"/>
      <c r="JB81" s="262"/>
      <c r="JC81" s="262"/>
      <c r="JD81" s="262"/>
      <c r="JE81" s="262"/>
      <c r="JF81" s="262"/>
      <c r="JG81" s="262"/>
      <c r="JH81" s="262"/>
      <c r="JI81" s="262"/>
      <c r="JJ81" s="262"/>
      <c r="JK81" s="262"/>
      <c r="JL81" s="262"/>
      <c r="JM81" s="262"/>
      <c r="JN81" s="262"/>
      <c r="JO81" s="262"/>
      <c r="JP81" s="262"/>
      <c r="JQ81" s="262"/>
      <c r="JR81" s="262"/>
      <c r="JS81" s="262"/>
      <c r="JT81" s="262"/>
      <c r="JU81" s="262"/>
      <c r="JV81" s="262"/>
      <c r="JW81" s="262"/>
      <c r="JX81" s="262"/>
      <c r="JY81" s="262"/>
      <c r="JZ81" s="262"/>
      <c r="KA81" s="262"/>
      <c r="KB81" s="262"/>
      <c r="KC81" s="262"/>
      <c r="KD81" s="262"/>
      <c r="KE81" s="262"/>
      <c r="KF81" s="262"/>
      <c r="KG81" s="262"/>
      <c r="KH81" s="262"/>
      <c r="KI81" s="262"/>
      <c r="KJ81" s="262"/>
      <c r="KK81" s="262"/>
      <c r="KL81" s="262"/>
      <c r="KM81" s="262"/>
      <c r="KN81" s="262"/>
      <c r="KO81" s="262"/>
      <c r="KP81" s="262"/>
      <c r="KQ81" s="262"/>
      <c r="KR81" s="262"/>
      <c r="KS81" s="262"/>
      <c r="KT81" s="262"/>
      <c r="KU81" s="262"/>
      <c r="KV81" s="262"/>
      <c r="KW81" s="262"/>
      <c r="KX81" s="262"/>
      <c r="KY81" s="262"/>
      <c r="KZ81" s="262"/>
    </row>
    <row r="82" spans="1:312" s="96" customFormat="1" ht="50" customHeight="1">
      <c r="A82" s="263" t="s">
        <v>229</v>
      </c>
      <c r="B82" s="264"/>
      <c r="C82" s="86"/>
      <c r="D82" s="86"/>
      <c r="E82" s="60">
        <v>68</v>
      </c>
      <c r="F82" s="86" t="e">
        <f t="shared" si="2"/>
        <v>#DIV/0!</v>
      </c>
      <c r="G82" s="87">
        <v>5</v>
      </c>
      <c r="H82" s="87">
        <v>7</v>
      </c>
      <c r="I82" s="87"/>
      <c r="J82" s="87" t="s">
        <v>217</v>
      </c>
      <c r="K82" s="89" t="s">
        <v>230</v>
      </c>
      <c r="L82" s="94"/>
      <c r="M82" s="94"/>
      <c r="N82" s="91"/>
      <c r="O82" s="91" t="s">
        <v>335</v>
      </c>
      <c r="P82" s="92"/>
      <c r="Q82" s="93" t="s">
        <v>689</v>
      </c>
      <c r="R82" s="95"/>
      <c r="S82" s="60">
        <v>68</v>
      </c>
      <c r="T82" s="263">
        <f t="shared" si="3"/>
        <v>340</v>
      </c>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c r="DA82" s="262"/>
      <c r="DB82" s="262"/>
      <c r="DC82" s="262"/>
      <c r="DD82" s="262"/>
      <c r="DE82" s="262"/>
      <c r="DF82" s="262"/>
      <c r="DG82" s="262"/>
      <c r="DH82" s="262"/>
      <c r="DI82" s="262"/>
      <c r="DJ82" s="262"/>
      <c r="DK82" s="262"/>
      <c r="DL82" s="262"/>
      <c r="DM82" s="262"/>
      <c r="DN82" s="262"/>
      <c r="DO82" s="262"/>
      <c r="DP82" s="262"/>
      <c r="DQ82" s="262"/>
      <c r="DR82" s="262"/>
      <c r="DS82" s="262"/>
      <c r="DT82" s="262"/>
      <c r="DU82" s="262"/>
      <c r="DV82" s="262"/>
      <c r="DW82" s="262"/>
      <c r="DX82" s="262"/>
      <c r="DY82" s="262"/>
      <c r="DZ82" s="262"/>
      <c r="EA82" s="262"/>
      <c r="EB82" s="262"/>
      <c r="EC82" s="262"/>
      <c r="ED82" s="262"/>
      <c r="EE82" s="262"/>
      <c r="EF82" s="262"/>
      <c r="EG82" s="262"/>
      <c r="EH82" s="262"/>
      <c r="EI82" s="262"/>
      <c r="EJ82" s="262"/>
      <c r="EK82" s="262"/>
      <c r="EL82" s="262"/>
      <c r="EM82" s="262"/>
      <c r="EN82" s="262"/>
      <c r="EO82" s="262"/>
      <c r="EP82" s="262"/>
      <c r="EQ82" s="262"/>
      <c r="ER82" s="262"/>
      <c r="ES82" s="262"/>
      <c r="ET82" s="262"/>
      <c r="EU82" s="262"/>
      <c r="EV82" s="262"/>
      <c r="EW82" s="262"/>
      <c r="EX82" s="262"/>
      <c r="EY82" s="262"/>
      <c r="EZ82" s="262"/>
      <c r="FA82" s="262"/>
      <c r="FB82" s="262"/>
      <c r="FC82" s="262"/>
      <c r="FD82" s="262"/>
      <c r="FE82" s="262"/>
      <c r="FF82" s="262"/>
      <c r="FG82" s="262"/>
      <c r="FH82" s="262"/>
      <c r="FI82" s="262"/>
      <c r="FJ82" s="262"/>
      <c r="FK82" s="262"/>
      <c r="FL82" s="262"/>
      <c r="FM82" s="262"/>
      <c r="FN82" s="262"/>
      <c r="FO82" s="262"/>
      <c r="FP82" s="262"/>
      <c r="FQ82" s="262"/>
      <c r="FR82" s="262"/>
      <c r="FS82" s="262"/>
      <c r="FT82" s="262"/>
      <c r="FU82" s="262"/>
      <c r="FV82" s="262"/>
      <c r="FW82" s="262"/>
      <c r="FX82" s="262"/>
      <c r="FY82" s="262"/>
      <c r="FZ82" s="262"/>
      <c r="GA82" s="262"/>
      <c r="GB82" s="262"/>
      <c r="GC82" s="262"/>
      <c r="GD82" s="262"/>
      <c r="GE82" s="262"/>
      <c r="GF82" s="262"/>
      <c r="GG82" s="262"/>
      <c r="GH82" s="262"/>
      <c r="GI82" s="262"/>
      <c r="GJ82" s="262"/>
      <c r="GK82" s="262"/>
      <c r="GL82" s="262"/>
      <c r="GM82" s="262"/>
      <c r="GN82" s="262"/>
      <c r="GO82" s="262"/>
      <c r="GP82" s="262"/>
      <c r="GQ82" s="262"/>
      <c r="GR82" s="262"/>
      <c r="GS82" s="262"/>
      <c r="GT82" s="262"/>
      <c r="GU82" s="262"/>
      <c r="GV82" s="262"/>
      <c r="GW82" s="262"/>
      <c r="GX82" s="262"/>
      <c r="GY82" s="262"/>
      <c r="GZ82" s="262"/>
      <c r="HA82" s="262"/>
      <c r="HB82" s="262"/>
      <c r="HC82" s="262"/>
      <c r="HD82" s="262"/>
      <c r="HE82" s="262"/>
      <c r="HF82" s="262"/>
      <c r="HG82" s="262"/>
      <c r="HH82" s="262"/>
      <c r="HI82" s="262"/>
      <c r="HJ82" s="262"/>
      <c r="HK82" s="262"/>
      <c r="HL82" s="262"/>
      <c r="HM82" s="262"/>
      <c r="HN82" s="262"/>
      <c r="HO82" s="262"/>
      <c r="HP82" s="262"/>
      <c r="HQ82" s="262"/>
      <c r="HR82" s="262"/>
      <c r="HS82" s="262"/>
      <c r="HT82" s="262"/>
      <c r="HU82" s="262"/>
      <c r="HV82" s="262"/>
      <c r="HW82" s="262"/>
      <c r="HX82" s="262"/>
      <c r="HY82" s="262"/>
      <c r="HZ82" s="262"/>
      <c r="IA82" s="262"/>
      <c r="IB82" s="262"/>
      <c r="IC82" s="262"/>
      <c r="ID82" s="262"/>
      <c r="IE82" s="262"/>
      <c r="IF82" s="262"/>
      <c r="IG82" s="262"/>
      <c r="IH82" s="262"/>
      <c r="II82" s="262"/>
      <c r="IJ82" s="262"/>
      <c r="IK82" s="262"/>
      <c r="IL82" s="262"/>
      <c r="IM82" s="262"/>
      <c r="IN82" s="262"/>
      <c r="IO82" s="262"/>
      <c r="IP82" s="262"/>
      <c r="IQ82" s="262"/>
      <c r="IR82" s="262"/>
      <c r="IS82" s="262"/>
      <c r="IT82" s="262"/>
      <c r="IU82" s="262"/>
      <c r="IV82" s="262"/>
      <c r="IW82" s="262"/>
      <c r="IX82" s="262"/>
      <c r="IY82" s="262"/>
      <c r="IZ82" s="262"/>
      <c r="JA82" s="262"/>
      <c r="JB82" s="262"/>
      <c r="JC82" s="262"/>
      <c r="JD82" s="262"/>
      <c r="JE82" s="262"/>
      <c r="JF82" s="262"/>
      <c r="JG82" s="262"/>
      <c r="JH82" s="262"/>
      <c r="JI82" s="262"/>
      <c r="JJ82" s="262"/>
      <c r="JK82" s="262"/>
      <c r="JL82" s="262"/>
      <c r="JM82" s="262"/>
      <c r="JN82" s="262"/>
      <c r="JO82" s="262"/>
      <c r="JP82" s="262"/>
      <c r="JQ82" s="262"/>
      <c r="JR82" s="262"/>
      <c r="JS82" s="262"/>
      <c r="JT82" s="262"/>
      <c r="JU82" s="262"/>
      <c r="JV82" s="262"/>
      <c r="JW82" s="262"/>
      <c r="JX82" s="262"/>
      <c r="JY82" s="262"/>
      <c r="JZ82" s="262"/>
      <c r="KA82" s="262"/>
      <c r="KB82" s="262"/>
      <c r="KC82" s="262"/>
      <c r="KD82" s="262"/>
      <c r="KE82" s="262"/>
      <c r="KF82" s="262"/>
      <c r="KG82" s="262"/>
      <c r="KH82" s="262"/>
      <c r="KI82" s="262"/>
      <c r="KJ82" s="262"/>
      <c r="KK82" s="262"/>
      <c r="KL82" s="262"/>
      <c r="KM82" s="262"/>
      <c r="KN82" s="262"/>
      <c r="KO82" s="262"/>
      <c r="KP82" s="262"/>
      <c r="KQ82" s="262"/>
      <c r="KR82" s="262"/>
      <c r="KS82" s="262"/>
      <c r="KT82" s="262"/>
      <c r="KU82" s="262"/>
      <c r="KV82" s="262"/>
      <c r="KW82" s="262"/>
      <c r="KX82" s="262"/>
      <c r="KY82" s="262"/>
      <c r="KZ82" s="262"/>
    </row>
    <row r="83" spans="1:312" s="85" customFormat="1" ht="50" customHeight="1">
      <c r="A83" s="263" t="s">
        <v>245</v>
      </c>
      <c r="B83" s="264"/>
      <c r="C83" s="86"/>
      <c r="D83" s="86"/>
      <c r="E83" s="60">
        <v>68</v>
      </c>
      <c r="F83" s="86" t="e">
        <f t="shared" si="2"/>
        <v>#DIV/0!</v>
      </c>
      <c r="G83" s="87">
        <v>5</v>
      </c>
      <c r="H83" s="87">
        <v>7</v>
      </c>
      <c r="I83" s="87"/>
      <c r="J83" s="87" t="s">
        <v>248</v>
      </c>
      <c r="K83" s="89" t="s">
        <v>246</v>
      </c>
      <c r="L83" s="94"/>
      <c r="M83" s="90"/>
      <c r="N83" s="91"/>
      <c r="O83" s="91" t="s">
        <v>335</v>
      </c>
      <c r="P83" s="92"/>
      <c r="Q83" s="95" t="s">
        <v>689</v>
      </c>
      <c r="R83" s="95" t="s">
        <v>689</v>
      </c>
      <c r="S83" s="60">
        <v>68</v>
      </c>
      <c r="T83" s="263">
        <f t="shared" si="3"/>
        <v>340</v>
      </c>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c r="DA83" s="262"/>
      <c r="DB83" s="262"/>
      <c r="DC83" s="262"/>
      <c r="DD83" s="262"/>
      <c r="DE83" s="262"/>
      <c r="DF83" s="262"/>
      <c r="DG83" s="262"/>
      <c r="DH83" s="262"/>
      <c r="DI83" s="262"/>
      <c r="DJ83" s="262"/>
      <c r="DK83" s="262"/>
      <c r="DL83" s="262"/>
      <c r="DM83" s="262"/>
      <c r="DN83" s="262"/>
      <c r="DO83" s="262"/>
      <c r="DP83" s="262"/>
      <c r="DQ83" s="262"/>
      <c r="DR83" s="262"/>
      <c r="DS83" s="262"/>
      <c r="DT83" s="262"/>
      <c r="DU83" s="262"/>
      <c r="DV83" s="262"/>
      <c r="DW83" s="262"/>
      <c r="DX83" s="262"/>
      <c r="DY83" s="262"/>
      <c r="DZ83" s="262"/>
      <c r="EA83" s="262"/>
      <c r="EB83" s="262"/>
      <c r="EC83" s="262"/>
      <c r="ED83" s="262"/>
      <c r="EE83" s="262"/>
      <c r="EF83" s="262"/>
      <c r="EG83" s="262"/>
      <c r="EH83" s="262"/>
      <c r="EI83" s="262"/>
      <c r="EJ83" s="262"/>
      <c r="EK83" s="262"/>
      <c r="EL83" s="262"/>
      <c r="EM83" s="262"/>
      <c r="EN83" s="262"/>
      <c r="EO83" s="262"/>
      <c r="EP83" s="262"/>
      <c r="EQ83" s="262"/>
      <c r="ER83" s="262"/>
      <c r="ES83" s="262"/>
      <c r="ET83" s="262"/>
      <c r="EU83" s="262"/>
      <c r="EV83" s="262"/>
      <c r="EW83" s="262"/>
      <c r="EX83" s="262"/>
      <c r="EY83" s="262"/>
      <c r="EZ83" s="262"/>
      <c r="FA83" s="262"/>
      <c r="FB83" s="262"/>
      <c r="FC83" s="262"/>
      <c r="FD83" s="262"/>
      <c r="FE83" s="262"/>
      <c r="FF83" s="262"/>
      <c r="FG83" s="262"/>
      <c r="FH83" s="262"/>
      <c r="FI83" s="262"/>
      <c r="FJ83" s="262"/>
      <c r="FK83" s="262"/>
      <c r="FL83" s="262"/>
      <c r="FM83" s="262"/>
      <c r="FN83" s="262"/>
      <c r="FO83" s="262"/>
      <c r="FP83" s="262"/>
      <c r="FQ83" s="262"/>
      <c r="FR83" s="262"/>
      <c r="FS83" s="262"/>
      <c r="FT83" s="262"/>
      <c r="FU83" s="262"/>
      <c r="FV83" s="262"/>
      <c r="FW83" s="262"/>
      <c r="FX83" s="262"/>
      <c r="FY83" s="262"/>
      <c r="FZ83" s="262"/>
      <c r="GA83" s="262"/>
      <c r="GB83" s="262"/>
      <c r="GC83" s="262"/>
      <c r="GD83" s="262"/>
      <c r="GE83" s="262"/>
      <c r="GF83" s="262"/>
      <c r="GG83" s="262"/>
      <c r="GH83" s="262"/>
      <c r="GI83" s="262"/>
      <c r="GJ83" s="262"/>
      <c r="GK83" s="262"/>
      <c r="GL83" s="262"/>
      <c r="GM83" s="262"/>
      <c r="GN83" s="262"/>
      <c r="GO83" s="262"/>
      <c r="GP83" s="262"/>
      <c r="GQ83" s="262"/>
      <c r="GR83" s="262"/>
      <c r="GS83" s="262"/>
      <c r="GT83" s="262"/>
      <c r="GU83" s="262"/>
      <c r="GV83" s="262"/>
      <c r="GW83" s="262"/>
      <c r="GX83" s="262"/>
      <c r="GY83" s="262"/>
      <c r="GZ83" s="262"/>
      <c r="HA83" s="262"/>
      <c r="HB83" s="262"/>
      <c r="HC83" s="262"/>
      <c r="HD83" s="262"/>
      <c r="HE83" s="262"/>
      <c r="HF83" s="262"/>
      <c r="HG83" s="262"/>
      <c r="HH83" s="262"/>
      <c r="HI83" s="262"/>
      <c r="HJ83" s="262"/>
      <c r="HK83" s="262"/>
      <c r="HL83" s="262"/>
      <c r="HM83" s="262"/>
      <c r="HN83" s="262"/>
      <c r="HO83" s="262"/>
      <c r="HP83" s="262"/>
      <c r="HQ83" s="262"/>
      <c r="HR83" s="262"/>
      <c r="HS83" s="262"/>
      <c r="HT83" s="262"/>
      <c r="HU83" s="262"/>
      <c r="HV83" s="262"/>
      <c r="HW83" s="262"/>
      <c r="HX83" s="262"/>
      <c r="HY83" s="262"/>
      <c r="HZ83" s="262"/>
      <c r="IA83" s="262"/>
      <c r="IB83" s="262"/>
      <c r="IC83" s="262"/>
      <c r="ID83" s="262"/>
      <c r="IE83" s="262"/>
      <c r="IF83" s="262"/>
      <c r="IG83" s="262"/>
      <c r="IH83" s="262"/>
      <c r="II83" s="262"/>
      <c r="IJ83" s="262"/>
      <c r="IK83" s="262"/>
      <c r="IL83" s="262"/>
      <c r="IM83" s="262"/>
      <c r="IN83" s="262"/>
      <c r="IO83" s="262"/>
      <c r="IP83" s="262"/>
      <c r="IQ83" s="262"/>
      <c r="IR83" s="262"/>
      <c r="IS83" s="262"/>
      <c r="IT83" s="262"/>
      <c r="IU83" s="262"/>
      <c r="IV83" s="262"/>
      <c r="IW83" s="262"/>
      <c r="IX83" s="262"/>
      <c r="IY83" s="262"/>
      <c r="IZ83" s="262"/>
      <c r="JA83" s="262"/>
      <c r="JB83" s="262"/>
      <c r="JC83" s="262"/>
      <c r="JD83" s="262"/>
      <c r="JE83" s="262"/>
      <c r="JF83" s="262"/>
      <c r="JG83" s="262"/>
      <c r="JH83" s="262"/>
      <c r="JI83" s="262"/>
      <c r="JJ83" s="262"/>
      <c r="JK83" s="262"/>
      <c r="JL83" s="262"/>
      <c r="JM83" s="262"/>
      <c r="JN83" s="262"/>
      <c r="JO83" s="262"/>
      <c r="JP83" s="262"/>
      <c r="JQ83" s="262"/>
      <c r="JR83" s="262"/>
      <c r="JS83" s="262"/>
      <c r="JT83" s="262"/>
      <c r="JU83" s="262"/>
      <c r="JV83" s="262"/>
      <c r="JW83" s="262"/>
      <c r="JX83" s="262"/>
      <c r="JY83" s="262"/>
      <c r="JZ83" s="262"/>
      <c r="KA83" s="262"/>
      <c r="KB83" s="262"/>
      <c r="KC83" s="262"/>
      <c r="KD83" s="262"/>
      <c r="KE83" s="262"/>
      <c r="KF83" s="262"/>
      <c r="KG83" s="262"/>
      <c r="KH83" s="262"/>
      <c r="KI83" s="262"/>
      <c r="KJ83" s="262"/>
      <c r="KK83" s="262"/>
      <c r="KL83" s="262"/>
      <c r="KM83" s="262"/>
      <c r="KN83" s="262"/>
      <c r="KO83" s="262"/>
      <c r="KP83" s="262"/>
      <c r="KQ83" s="262"/>
      <c r="KR83" s="262"/>
      <c r="KS83" s="262"/>
      <c r="KT83" s="262"/>
      <c r="KU83" s="262"/>
      <c r="KV83" s="262"/>
      <c r="KW83" s="262"/>
      <c r="KX83" s="262"/>
      <c r="KY83" s="262"/>
      <c r="KZ83" s="262"/>
    </row>
    <row r="84" spans="1:312" s="85" customFormat="1" ht="50" customHeight="1">
      <c r="A84" s="263" t="s">
        <v>200</v>
      </c>
      <c r="B84" s="264"/>
      <c r="C84" s="86"/>
      <c r="D84" s="86"/>
      <c r="E84" s="60">
        <v>280</v>
      </c>
      <c r="F84" s="86" t="e">
        <f t="shared" si="2"/>
        <v>#DIV/0!</v>
      </c>
      <c r="G84" s="87">
        <v>5</v>
      </c>
      <c r="H84" s="87">
        <v>7</v>
      </c>
      <c r="I84" s="87"/>
      <c r="J84" s="87" t="s">
        <v>248</v>
      </c>
      <c r="K84" s="89" t="s">
        <v>254</v>
      </c>
      <c r="L84" s="94"/>
      <c r="M84" s="90" t="s">
        <v>689</v>
      </c>
      <c r="N84" s="91" t="s">
        <v>335</v>
      </c>
      <c r="O84" s="91" t="s">
        <v>335</v>
      </c>
      <c r="P84" s="92"/>
      <c r="Q84" s="95" t="s">
        <v>689</v>
      </c>
      <c r="R84" s="95" t="s">
        <v>689</v>
      </c>
      <c r="S84" s="60">
        <v>280</v>
      </c>
      <c r="T84" s="263">
        <f t="shared" si="3"/>
        <v>1400</v>
      </c>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c r="DA84" s="262"/>
      <c r="DB84" s="262"/>
      <c r="DC84" s="262"/>
      <c r="DD84" s="262"/>
      <c r="DE84" s="262"/>
      <c r="DF84" s="262"/>
      <c r="DG84" s="262"/>
      <c r="DH84" s="262"/>
      <c r="DI84" s="262"/>
      <c r="DJ84" s="262"/>
      <c r="DK84" s="262"/>
      <c r="DL84" s="262"/>
      <c r="DM84" s="262"/>
      <c r="DN84" s="262"/>
      <c r="DO84" s="262"/>
      <c r="DP84" s="262"/>
      <c r="DQ84" s="262"/>
      <c r="DR84" s="262"/>
      <c r="DS84" s="262"/>
      <c r="DT84" s="262"/>
      <c r="DU84" s="262"/>
      <c r="DV84" s="262"/>
      <c r="DW84" s="262"/>
      <c r="DX84" s="262"/>
      <c r="DY84" s="262"/>
      <c r="DZ84" s="262"/>
      <c r="EA84" s="262"/>
      <c r="EB84" s="262"/>
      <c r="EC84" s="262"/>
      <c r="ED84" s="262"/>
      <c r="EE84" s="262"/>
      <c r="EF84" s="262"/>
      <c r="EG84" s="262"/>
      <c r="EH84" s="262"/>
      <c r="EI84" s="262"/>
      <c r="EJ84" s="262"/>
      <c r="EK84" s="262"/>
      <c r="EL84" s="262"/>
      <c r="EM84" s="262"/>
      <c r="EN84" s="262"/>
      <c r="EO84" s="262"/>
      <c r="EP84" s="262"/>
      <c r="EQ84" s="262"/>
      <c r="ER84" s="262"/>
      <c r="ES84" s="262"/>
      <c r="ET84" s="262"/>
      <c r="EU84" s="262"/>
      <c r="EV84" s="262"/>
      <c r="EW84" s="262"/>
      <c r="EX84" s="262"/>
      <c r="EY84" s="262"/>
      <c r="EZ84" s="262"/>
      <c r="FA84" s="262"/>
      <c r="FB84" s="262"/>
      <c r="FC84" s="262"/>
      <c r="FD84" s="262"/>
      <c r="FE84" s="262"/>
      <c r="FF84" s="262"/>
      <c r="FG84" s="262"/>
      <c r="FH84" s="262"/>
      <c r="FI84" s="262"/>
      <c r="FJ84" s="262"/>
      <c r="FK84" s="262"/>
      <c r="FL84" s="262"/>
      <c r="FM84" s="262"/>
      <c r="FN84" s="262"/>
      <c r="FO84" s="262"/>
      <c r="FP84" s="262"/>
      <c r="FQ84" s="262"/>
      <c r="FR84" s="262"/>
      <c r="FS84" s="262"/>
      <c r="FT84" s="262"/>
      <c r="FU84" s="262"/>
      <c r="FV84" s="262"/>
      <c r="FW84" s="262"/>
      <c r="FX84" s="262"/>
      <c r="FY84" s="262"/>
      <c r="FZ84" s="262"/>
      <c r="GA84" s="262"/>
      <c r="GB84" s="262"/>
      <c r="GC84" s="262"/>
      <c r="GD84" s="262"/>
      <c r="GE84" s="262"/>
      <c r="GF84" s="262"/>
      <c r="GG84" s="262"/>
      <c r="GH84" s="262"/>
      <c r="GI84" s="262"/>
      <c r="GJ84" s="262"/>
      <c r="GK84" s="262"/>
      <c r="GL84" s="262"/>
      <c r="GM84" s="262"/>
      <c r="GN84" s="262"/>
      <c r="GO84" s="262"/>
      <c r="GP84" s="262"/>
      <c r="GQ84" s="262"/>
      <c r="GR84" s="262"/>
      <c r="GS84" s="262"/>
      <c r="GT84" s="262"/>
      <c r="GU84" s="262"/>
      <c r="GV84" s="262"/>
      <c r="GW84" s="262"/>
      <c r="GX84" s="262"/>
      <c r="GY84" s="262"/>
      <c r="GZ84" s="262"/>
      <c r="HA84" s="262"/>
      <c r="HB84" s="262"/>
      <c r="HC84" s="262"/>
      <c r="HD84" s="262"/>
      <c r="HE84" s="262"/>
      <c r="HF84" s="262"/>
      <c r="HG84" s="262"/>
      <c r="HH84" s="262"/>
      <c r="HI84" s="262"/>
      <c r="HJ84" s="262"/>
      <c r="HK84" s="262"/>
      <c r="HL84" s="262"/>
      <c r="HM84" s="262"/>
      <c r="HN84" s="262"/>
      <c r="HO84" s="262"/>
      <c r="HP84" s="262"/>
      <c r="HQ84" s="262"/>
      <c r="HR84" s="262"/>
      <c r="HS84" s="262"/>
      <c r="HT84" s="262"/>
      <c r="HU84" s="262"/>
      <c r="HV84" s="262"/>
      <c r="HW84" s="262"/>
      <c r="HX84" s="262"/>
      <c r="HY84" s="262"/>
      <c r="HZ84" s="262"/>
      <c r="IA84" s="262"/>
      <c r="IB84" s="262"/>
      <c r="IC84" s="262"/>
      <c r="ID84" s="262"/>
      <c r="IE84" s="262"/>
      <c r="IF84" s="262"/>
      <c r="IG84" s="262"/>
      <c r="IH84" s="262"/>
      <c r="II84" s="262"/>
      <c r="IJ84" s="262"/>
      <c r="IK84" s="262"/>
      <c r="IL84" s="262"/>
      <c r="IM84" s="262"/>
      <c r="IN84" s="262"/>
      <c r="IO84" s="262"/>
      <c r="IP84" s="262"/>
      <c r="IQ84" s="262"/>
      <c r="IR84" s="262"/>
      <c r="IS84" s="262"/>
      <c r="IT84" s="262"/>
      <c r="IU84" s="262"/>
      <c r="IV84" s="262"/>
      <c r="IW84" s="262"/>
      <c r="IX84" s="262"/>
      <c r="IY84" s="262"/>
      <c r="IZ84" s="262"/>
      <c r="JA84" s="262"/>
      <c r="JB84" s="262"/>
      <c r="JC84" s="262"/>
      <c r="JD84" s="262"/>
      <c r="JE84" s="262"/>
      <c r="JF84" s="262"/>
      <c r="JG84" s="262"/>
      <c r="JH84" s="262"/>
      <c r="JI84" s="262"/>
      <c r="JJ84" s="262"/>
      <c r="JK84" s="262"/>
      <c r="JL84" s="262"/>
      <c r="JM84" s="262"/>
      <c r="JN84" s="262"/>
      <c r="JO84" s="262"/>
      <c r="JP84" s="262"/>
      <c r="JQ84" s="262"/>
      <c r="JR84" s="262"/>
      <c r="JS84" s="262"/>
      <c r="JT84" s="262"/>
      <c r="JU84" s="262"/>
      <c r="JV84" s="262"/>
      <c r="JW84" s="262"/>
      <c r="JX84" s="262"/>
      <c r="JY84" s="262"/>
      <c r="JZ84" s="262"/>
      <c r="KA84" s="262"/>
      <c r="KB84" s="262"/>
      <c r="KC84" s="262"/>
      <c r="KD84" s="262"/>
      <c r="KE84" s="262"/>
      <c r="KF84" s="262"/>
      <c r="KG84" s="262"/>
      <c r="KH84" s="262"/>
      <c r="KI84" s="262"/>
      <c r="KJ84" s="262"/>
      <c r="KK84" s="262"/>
      <c r="KL84" s="262"/>
      <c r="KM84" s="262"/>
      <c r="KN84" s="262"/>
      <c r="KO84" s="262"/>
      <c r="KP84" s="262"/>
      <c r="KQ84" s="262"/>
      <c r="KR84" s="262"/>
      <c r="KS84" s="262"/>
      <c r="KT84" s="262"/>
      <c r="KU84" s="262"/>
      <c r="KV84" s="262"/>
      <c r="KW84" s="262"/>
      <c r="KX84" s="262"/>
      <c r="KY84" s="262"/>
      <c r="KZ84" s="262"/>
    </row>
    <row r="85" spans="1:312" s="96" customFormat="1" ht="50" customHeight="1">
      <c r="A85" s="263" t="s">
        <v>242</v>
      </c>
      <c r="B85" s="264"/>
      <c r="C85" s="86"/>
      <c r="D85" s="86"/>
      <c r="E85" s="60">
        <v>68</v>
      </c>
      <c r="F85" s="86" t="e">
        <f t="shared" si="2"/>
        <v>#DIV/0!</v>
      </c>
      <c r="G85" s="87">
        <v>5</v>
      </c>
      <c r="H85" s="87">
        <v>7</v>
      </c>
      <c r="I85" s="87"/>
      <c r="J85" s="87" t="s">
        <v>240</v>
      </c>
      <c r="K85" s="89" t="s">
        <v>243</v>
      </c>
      <c r="L85" s="94"/>
      <c r="M85" s="94"/>
      <c r="N85" s="91"/>
      <c r="O85" s="91" t="s">
        <v>335</v>
      </c>
      <c r="P85" s="92"/>
      <c r="Q85" s="95" t="s">
        <v>689</v>
      </c>
      <c r="R85" s="95" t="s">
        <v>689</v>
      </c>
      <c r="S85" s="60">
        <v>68</v>
      </c>
      <c r="T85" s="263">
        <f t="shared" si="3"/>
        <v>340</v>
      </c>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c r="DA85" s="262"/>
      <c r="DB85" s="262"/>
      <c r="DC85" s="262"/>
      <c r="DD85" s="262"/>
      <c r="DE85" s="262"/>
      <c r="DF85" s="262"/>
      <c r="DG85" s="262"/>
      <c r="DH85" s="262"/>
      <c r="DI85" s="262"/>
      <c r="DJ85" s="262"/>
      <c r="DK85" s="262"/>
      <c r="DL85" s="262"/>
      <c r="DM85" s="262"/>
      <c r="DN85" s="262"/>
      <c r="DO85" s="262"/>
      <c r="DP85" s="262"/>
      <c r="DQ85" s="262"/>
      <c r="DR85" s="262"/>
      <c r="DS85" s="262"/>
      <c r="DT85" s="262"/>
      <c r="DU85" s="262"/>
      <c r="DV85" s="262"/>
      <c r="DW85" s="262"/>
      <c r="DX85" s="262"/>
      <c r="DY85" s="262"/>
      <c r="DZ85" s="262"/>
      <c r="EA85" s="262"/>
      <c r="EB85" s="262"/>
      <c r="EC85" s="262"/>
      <c r="ED85" s="262"/>
      <c r="EE85" s="262"/>
      <c r="EF85" s="262"/>
      <c r="EG85" s="262"/>
      <c r="EH85" s="262"/>
      <c r="EI85" s="262"/>
      <c r="EJ85" s="262"/>
      <c r="EK85" s="262"/>
      <c r="EL85" s="262"/>
      <c r="EM85" s="262"/>
      <c r="EN85" s="262"/>
      <c r="EO85" s="262"/>
      <c r="EP85" s="262"/>
      <c r="EQ85" s="262"/>
      <c r="ER85" s="262"/>
      <c r="ES85" s="262"/>
      <c r="ET85" s="262"/>
      <c r="EU85" s="262"/>
      <c r="EV85" s="262"/>
      <c r="EW85" s="262"/>
      <c r="EX85" s="262"/>
      <c r="EY85" s="262"/>
      <c r="EZ85" s="262"/>
      <c r="FA85" s="262"/>
      <c r="FB85" s="262"/>
      <c r="FC85" s="262"/>
      <c r="FD85" s="262"/>
      <c r="FE85" s="262"/>
      <c r="FF85" s="262"/>
      <c r="FG85" s="262"/>
      <c r="FH85" s="262"/>
      <c r="FI85" s="262"/>
      <c r="FJ85" s="262"/>
      <c r="FK85" s="262"/>
      <c r="FL85" s="262"/>
      <c r="FM85" s="262"/>
      <c r="FN85" s="262"/>
      <c r="FO85" s="262"/>
      <c r="FP85" s="262"/>
      <c r="FQ85" s="262"/>
      <c r="FR85" s="262"/>
      <c r="FS85" s="262"/>
      <c r="FT85" s="262"/>
      <c r="FU85" s="262"/>
      <c r="FV85" s="262"/>
      <c r="FW85" s="262"/>
      <c r="FX85" s="262"/>
      <c r="FY85" s="262"/>
      <c r="FZ85" s="262"/>
      <c r="GA85" s="262"/>
      <c r="GB85" s="262"/>
      <c r="GC85" s="262"/>
      <c r="GD85" s="262"/>
      <c r="GE85" s="262"/>
      <c r="GF85" s="262"/>
      <c r="GG85" s="262"/>
      <c r="GH85" s="262"/>
      <c r="GI85" s="262"/>
      <c r="GJ85" s="262"/>
      <c r="GK85" s="262"/>
      <c r="GL85" s="262"/>
      <c r="GM85" s="262"/>
      <c r="GN85" s="262"/>
      <c r="GO85" s="262"/>
      <c r="GP85" s="262"/>
      <c r="GQ85" s="262"/>
      <c r="GR85" s="262"/>
      <c r="GS85" s="262"/>
      <c r="GT85" s="262"/>
      <c r="GU85" s="262"/>
      <c r="GV85" s="262"/>
      <c r="GW85" s="262"/>
      <c r="GX85" s="262"/>
      <c r="GY85" s="262"/>
      <c r="GZ85" s="262"/>
      <c r="HA85" s="262"/>
      <c r="HB85" s="262"/>
      <c r="HC85" s="262"/>
      <c r="HD85" s="262"/>
      <c r="HE85" s="262"/>
      <c r="HF85" s="262"/>
      <c r="HG85" s="262"/>
      <c r="HH85" s="262"/>
      <c r="HI85" s="262"/>
      <c r="HJ85" s="262"/>
      <c r="HK85" s="262"/>
      <c r="HL85" s="262"/>
      <c r="HM85" s="262"/>
      <c r="HN85" s="262"/>
      <c r="HO85" s="262"/>
      <c r="HP85" s="262"/>
      <c r="HQ85" s="262"/>
      <c r="HR85" s="262"/>
      <c r="HS85" s="262"/>
      <c r="HT85" s="262"/>
      <c r="HU85" s="262"/>
      <c r="HV85" s="262"/>
      <c r="HW85" s="262"/>
      <c r="HX85" s="262"/>
      <c r="HY85" s="262"/>
      <c r="HZ85" s="262"/>
      <c r="IA85" s="262"/>
      <c r="IB85" s="262"/>
      <c r="IC85" s="262"/>
      <c r="ID85" s="262"/>
      <c r="IE85" s="262"/>
      <c r="IF85" s="262"/>
      <c r="IG85" s="262"/>
      <c r="IH85" s="262"/>
      <c r="II85" s="262"/>
      <c r="IJ85" s="262"/>
      <c r="IK85" s="262"/>
      <c r="IL85" s="262"/>
      <c r="IM85" s="262"/>
      <c r="IN85" s="262"/>
      <c r="IO85" s="262"/>
      <c r="IP85" s="262"/>
      <c r="IQ85" s="262"/>
      <c r="IR85" s="262"/>
      <c r="IS85" s="262"/>
      <c r="IT85" s="262"/>
      <c r="IU85" s="262"/>
      <c r="IV85" s="262"/>
      <c r="IW85" s="262"/>
      <c r="IX85" s="262"/>
      <c r="IY85" s="262"/>
      <c r="IZ85" s="262"/>
      <c r="JA85" s="262"/>
      <c r="JB85" s="262"/>
      <c r="JC85" s="262"/>
      <c r="JD85" s="262"/>
      <c r="JE85" s="262"/>
      <c r="JF85" s="262"/>
      <c r="JG85" s="262"/>
      <c r="JH85" s="262"/>
      <c r="JI85" s="262"/>
      <c r="JJ85" s="262"/>
      <c r="JK85" s="262"/>
      <c r="JL85" s="262"/>
      <c r="JM85" s="262"/>
      <c r="JN85" s="262"/>
      <c r="JO85" s="262"/>
      <c r="JP85" s="262"/>
      <c r="JQ85" s="262"/>
      <c r="JR85" s="262"/>
      <c r="JS85" s="262"/>
      <c r="JT85" s="262"/>
      <c r="JU85" s="262"/>
      <c r="JV85" s="262"/>
      <c r="JW85" s="262"/>
      <c r="JX85" s="262"/>
      <c r="JY85" s="262"/>
      <c r="JZ85" s="262"/>
      <c r="KA85" s="262"/>
      <c r="KB85" s="262"/>
      <c r="KC85" s="262"/>
      <c r="KD85" s="262"/>
      <c r="KE85" s="262"/>
      <c r="KF85" s="262"/>
      <c r="KG85" s="262"/>
      <c r="KH85" s="262"/>
      <c r="KI85" s="262"/>
      <c r="KJ85" s="262"/>
      <c r="KK85" s="262"/>
      <c r="KL85" s="262"/>
      <c r="KM85" s="262"/>
      <c r="KN85" s="262"/>
      <c r="KO85" s="262"/>
      <c r="KP85" s="262"/>
      <c r="KQ85" s="262"/>
      <c r="KR85" s="262"/>
      <c r="KS85" s="262"/>
      <c r="KT85" s="262"/>
      <c r="KU85" s="262"/>
      <c r="KV85" s="262"/>
      <c r="KW85" s="262"/>
      <c r="KX85" s="262"/>
      <c r="KY85" s="262"/>
      <c r="KZ85" s="262"/>
    </row>
    <row r="86" spans="1:312" s="107" customFormat="1" ht="50" customHeight="1">
      <c r="A86" s="263" t="s">
        <v>179</v>
      </c>
      <c r="B86" s="264"/>
      <c r="C86" s="86"/>
      <c r="D86" s="86"/>
      <c r="E86" s="60">
        <v>1715</v>
      </c>
      <c r="F86" s="86" t="e">
        <f t="shared" si="2"/>
        <v>#DIV/0!</v>
      </c>
      <c r="G86" s="87">
        <v>4</v>
      </c>
      <c r="H86" s="87">
        <v>7</v>
      </c>
      <c r="I86" s="87"/>
      <c r="J86" s="264" t="s">
        <v>204</v>
      </c>
      <c r="K86" s="265" t="s">
        <v>708</v>
      </c>
      <c r="L86" s="97" t="s">
        <v>689</v>
      </c>
      <c r="M86" s="90" t="s">
        <v>689</v>
      </c>
      <c r="N86" s="99" t="s">
        <v>335</v>
      </c>
      <c r="O86" s="99" t="s">
        <v>335</v>
      </c>
      <c r="P86" s="266"/>
      <c r="Q86" s="93" t="s">
        <v>689</v>
      </c>
      <c r="R86" s="93" t="s">
        <v>689</v>
      </c>
      <c r="S86" s="60">
        <v>1715</v>
      </c>
      <c r="T86" s="263">
        <f t="shared" si="3"/>
        <v>6860</v>
      </c>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c r="DA86" s="262"/>
      <c r="DB86" s="262"/>
      <c r="DC86" s="262"/>
      <c r="DD86" s="262"/>
      <c r="DE86" s="262"/>
      <c r="DF86" s="262"/>
      <c r="DG86" s="262"/>
      <c r="DH86" s="262"/>
      <c r="DI86" s="262"/>
      <c r="DJ86" s="262"/>
      <c r="DK86" s="262"/>
      <c r="DL86" s="262"/>
      <c r="DM86" s="262"/>
      <c r="DN86" s="262"/>
      <c r="DO86" s="262"/>
      <c r="DP86" s="262"/>
      <c r="DQ86" s="262"/>
      <c r="DR86" s="262"/>
      <c r="DS86" s="262"/>
      <c r="DT86" s="262"/>
      <c r="DU86" s="262"/>
      <c r="DV86" s="262"/>
      <c r="DW86" s="262"/>
      <c r="DX86" s="262"/>
      <c r="DY86" s="262"/>
      <c r="DZ86" s="262"/>
      <c r="EA86" s="262"/>
      <c r="EB86" s="262"/>
      <c r="EC86" s="262"/>
      <c r="ED86" s="262"/>
      <c r="EE86" s="262"/>
      <c r="EF86" s="262"/>
      <c r="EG86" s="262"/>
      <c r="EH86" s="262"/>
      <c r="EI86" s="262"/>
      <c r="EJ86" s="262"/>
      <c r="EK86" s="262"/>
      <c r="EL86" s="262"/>
      <c r="EM86" s="262"/>
      <c r="EN86" s="262"/>
      <c r="EO86" s="262"/>
      <c r="EP86" s="262"/>
      <c r="EQ86" s="262"/>
      <c r="ER86" s="262"/>
      <c r="ES86" s="262"/>
      <c r="ET86" s="262"/>
      <c r="EU86" s="262"/>
      <c r="EV86" s="262"/>
      <c r="EW86" s="262"/>
      <c r="EX86" s="262"/>
      <c r="EY86" s="262"/>
      <c r="EZ86" s="262"/>
      <c r="FA86" s="262"/>
      <c r="FB86" s="262"/>
      <c r="FC86" s="262"/>
      <c r="FD86" s="262"/>
      <c r="FE86" s="262"/>
      <c r="FF86" s="262"/>
      <c r="FG86" s="262"/>
      <c r="FH86" s="262"/>
      <c r="FI86" s="262"/>
      <c r="FJ86" s="262"/>
      <c r="FK86" s="262"/>
      <c r="FL86" s="262"/>
      <c r="FM86" s="262"/>
      <c r="FN86" s="262"/>
      <c r="FO86" s="262"/>
      <c r="FP86" s="262"/>
      <c r="FQ86" s="262"/>
      <c r="FR86" s="262"/>
      <c r="FS86" s="262"/>
      <c r="FT86" s="262"/>
      <c r="FU86" s="262"/>
      <c r="FV86" s="262"/>
      <c r="FW86" s="262"/>
      <c r="FX86" s="262"/>
      <c r="FY86" s="262"/>
      <c r="FZ86" s="262"/>
      <c r="GA86" s="262"/>
      <c r="GB86" s="262"/>
      <c r="GC86" s="262"/>
      <c r="GD86" s="262"/>
      <c r="GE86" s="262"/>
      <c r="GF86" s="262"/>
      <c r="GG86" s="262"/>
      <c r="GH86" s="262"/>
      <c r="GI86" s="262"/>
      <c r="GJ86" s="262"/>
      <c r="GK86" s="262"/>
      <c r="GL86" s="262"/>
      <c r="GM86" s="262"/>
      <c r="GN86" s="262"/>
      <c r="GO86" s="262"/>
      <c r="GP86" s="262"/>
      <c r="GQ86" s="262"/>
      <c r="GR86" s="262"/>
      <c r="GS86" s="262"/>
      <c r="GT86" s="262"/>
      <c r="GU86" s="262"/>
      <c r="GV86" s="262"/>
      <c r="GW86" s="262"/>
      <c r="GX86" s="262"/>
      <c r="GY86" s="262"/>
      <c r="GZ86" s="262"/>
      <c r="HA86" s="262"/>
      <c r="HB86" s="262"/>
      <c r="HC86" s="262"/>
      <c r="HD86" s="262"/>
      <c r="HE86" s="262"/>
      <c r="HF86" s="262"/>
      <c r="HG86" s="262"/>
      <c r="HH86" s="262"/>
      <c r="HI86" s="262"/>
      <c r="HJ86" s="262"/>
      <c r="HK86" s="262"/>
      <c r="HL86" s="262"/>
      <c r="HM86" s="262"/>
      <c r="HN86" s="262"/>
      <c r="HO86" s="262"/>
      <c r="HP86" s="262"/>
      <c r="HQ86" s="262"/>
      <c r="HR86" s="262"/>
      <c r="HS86" s="262"/>
      <c r="HT86" s="262"/>
      <c r="HU86" s="262"/>
      <c r="HV86" s="262"/>
      <c r="HW86" s="262"/>
      <c r="HX86" s="262"/>
      <c r="HY86" s="262"/>
      <c r="HZ86" s="262"/>
      <c r="IA86" s="262"/>
      <c r="IB86" s="262"/>
      <c r="IC86" s="262"/>
      <c r="ID86" s="262"/>
      <c r="IE86" s="262"/>
      <c r="IF86" s="262"/>
      <c r="IG86" s="262"/>
      <c r="IH86" s="262"/>
      <c r="II86" s="262"/>
      <c r="IJ86" s="262"/>
      <c r="IK86" s="262"/>
      <c r="IL86" s="262"/>
      <c r="IM86" s="262"/>
      <c r="IN86" s="262"/>
      <c r="IO86" s="262"/>
      <c r="IP86" s="262"/>
      <c r="IQ86" s="262"/>
      <c r="IR86" s="262"/>
      <c r="IS86" s="262"/>
      <c r="IT86" s="262"/>
      <c r="IU86" s="262"/>
      <c r="IV86" s="262"/>
      <c r="IW86" s="262"/>
      <c r="IX86" s="262"/>
      <c r="IY86" s="262"/>
      <c r="IZ86" s="262"/>
      <c r="JA86" s="262"/>
      <c r="JB86" s="262"/>
      <c r="JC86" s="262"/>
      <c r="JD86" s="262"/>
      <c r="JE86" s="262"/>
      <c r="JF86" s="262"/>
      <c r="JG86" s="262"/>
      <c r="JH86" s="262"/>
      <c r="JI86" s="262"/>
      <c r="JJ86" s="262"/>
      <c r="JK86" s="262"/>
      <c r="JL86" s="262"/>
      <c r="JM86" s="262"/>
      <c r="JN86" s="262"/>
      <c r="JO86" s="262"/>
      <c r="JP86" s="262"/>
      <c r="JQ86" s="262"/>
      <c r="JR86" s="262"/>
      <c r="JS86" s="262"/>
      <c r="JT86" s="262"/>
      <c r="JU86" s="262"/>
      <c r="JV86" s="262"/>
      <c r="JW86" s="262"/>
      <c r="JX86" s="262"/>
      <c r="JY86" s="262"/>
      <c r="JZ86" s="262"/>
      <c r="KA86" s="262"/>
      <c r="KB86" s="262"/>
      <c r="KC86" s="262"/>
      <c r="KD86" s="262"/>
      <c r="KE86" s="262"/>
      <c r="KF86" s="262"/>
      <c r="KG86" s="262"/>
      <c r="KH86" s="262"/>
      <c r="KI86" s="262"/>
      <c r="KJ86" s="262"/>
      <c r="KK86" s="262"/>
      <c r="KL86" s="262"/>
      <c r="KM86" s="262"/>
      <c r="KN86" s="262"/>
      <c r="KO86" s="262"/>
      <c r="KP86" s="262"/>
      <c r="KQ86" s="262"/>
      <c r="KR86" s="262"/>
      <c r="KS86" s="262"/>
      <c r="KT86" s="262"/>
      <c r="KU86" s="262"/>
      <c r="KV86" s="262"/>
      <c r="KW86" s="262"/>
      <c r="KX86" s="262"/>
      <c r="KY86" s="262"/>
      <c r="KZ86" s="262"/>
    </row>
    <row r="87" spans="1:312" s="85" customFormat="1" ht="50" customHeight="1">
      <c r="A87" s="263" t="s">
        <v>180</v>
      </c>
      <c r="B87" s="264"/>
      <c r="C87" s="86"/>
      <c r="D87" s="86"/>
      <c r="E87" s="60">
        <v>68</v>
      </c>
      <c r="F87" s="86" t="e">
        <f t="shared" si="2"/>
        <v>#DIV/0!</v>
      </c>
      <c r="G87" s="87">
        <v>4</v>
      </c>
      <c r="H87" s="87">
        <v>7</v>
      </c>
      <c r="I87" s="87"/>
      <c r="J87" s="264" t="s">
        <v>204</v>
      </c>
      <c r="K87" s="265" t="s">
        <v>500</v>
      </c>
      <c r="L87" s="98"/>
      <c r="M87" s="98"/>
      <c r="N87" s="99"/>
      <c r="O87" s="99" t="s">
        <v>335</v>
      </c>
      <c r="P87" s="266"/>
      <c r="Q87" s="93" t="s">
        <v>689</v>
      </c>
      <c r="R87" s="93" t="s">
        <v>689</v>
      </c>
      <c r="S87" s="60">
        <v>68</v>
      </c>
      <c r="T87" s="263">
        <f t="shared" si="3"/>
        <v>272</v>
      </c>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262"/>
      <c r="BT87" s="262"/>
      <c r="BU87" s="262"/>
      <c r="BV87" s="262"/>
      <c r="BW87" s="262"/>
      <c r="BX87" s="262"/>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2"/>
      <c r="CV87" s="262"/>
      <c r="CW87" s="262"/>
      <c r="CX87" s="262"/>
      <c r="CY87" s="262"/>
      <c r="CZ87" s="262"/>
      <c r="DA87" s="262"/>
      <c r="DB87" s="262"/>
      <c r="DC87" s="262"/>
      <c r="DD87" s="262"/>
      <c r="DE87" s="262"/>
      <c r="DF87" s="262"/>
      <c r="DG87" s="262"/>
      <c r="DH87" s="262"/>
      <c r="DI87" s="262"/>
      <c r="DJ87" s="262"/>
      <c r="DK87" s="262"/>
      <c r="DL87" s="262"/>
      <c r="DM87" s="262"/>
      <c r="DN87" s="262"/>
      <c r="DO87" s="262"/>
      <c r="DP87" s="262"/>
      <c r="DQ87" s="262"/>
      <c r="DR87" s="262"/>
      <c r="DS87" s="262"/>
      <c r="DT87" s="262"/>
      <c r="DU87" s="262"/>
      <c r="DV87" s="262"/>
      <c r="DW87" s="262"/>
      <c r="DX87" s="262"/>
      <c r="DY87" s="262"/>
      <c r="DZ87" s="262"/>
      <c r="EA87" s="262"/>
      <c r="EB87" s="262"/>
      <c r="EC87" s="262"/>
      <c r="ED87" s="262"/>
      <c r="EE87" s="262"/>
      <c r="EF87" s="262"/>
      <c r="EG87" s="262"/>
      <c r="EH87" s="262"/>
      <c r="EI87" s="262"/>
      <c r="EJ87" s="262"/>
      <c r="EK87" s="262"/>
      <c r="EL87" s="262"/>
      <c r="EM87" s="262"/>
      <c r="EN87" s="262"/>
      <c r="EO87" s="262"/>
      <c r="EP87" s="262"/>
      <c r="EQ87" s="262"/>
      <c r="ER87" s="262"/>
      <c r="ES87" s="262"/>
      <c r="ET87" s="262"/>
      <c r="EU87" s="262"/>
      <c r="EV87" s="262"/>
      <c r="EW87" s="262"/>
      <c r="EX87" s="262"/>
      <c r="EY87" s="262"/>
      <c r="EZ87" s="262"/>
      <c r="FA87" s="262"/>
      <c r="FB87" s="262"/>
      <c r="FC87" s="262"/>
      <c r="FD87" s="262"/>
      <c r="FE87" s="262"/>
      <c r="FF87" s="262"/>
      <c r="FG87" s="262"/>
      <c r="FH87" s="262"/>
      <c r="FI87" s="262"/>
      <c r="FJ87" s="262"/>
      <c r="FK87" s="262"/>
      <c r="FL87" s="262"/>
      <c r="FM87" s="262"/>
      <c r="FN87" s="262"/>
      <c r="FO87" s="262"/>
      <c r="FP87" s="262"/>
      <c r="FQ87" s="262"/>
      <c r="FR87" s="262"/>
      <c r="FS87" s="262"/>
      <c r="FT87" s="262"/>
      <c r="FU87" s="262"/>
      <c r="FV87" s="262"/>
      <c r="FW87" s="262"/>
      <c r="FX87" s="262"/>
      <c r="FY87" s="262"/>
      <c r="FZ87" s="262"/>
      <c r="GA87" s="262"/>
      <c r="GB87" s="262"/>
      <c r="GC87" s="262"/>
      <c r="GD87" s="262"/>
      <c r="GE87" s="262"/>
      <c r="GF87" s="262"/>
      <c r="GG87" s="262"/>
      <c r="GH87" s="262"/>
      <c r="GI87" s="262"/>
      <c r="GJ87" s="262"/>
      <c r="GK87" s="262"/>
      <c r="GL87" s="262"/>
      <c r="GM87" s="262"/>
      <c r="GN87" s="262"/>
      <c r="GO87" s="262"/>
      <c r="GP87" s="262"/>
      <c r="GQ87" s="262"/>
      <c r="GR87" s="262"/>
      <c r="GS87" s="262"/>
      <c r="GT87" s="262"/>
      <c r="GU87" s="262"/>
      <c r="GV87" s="262"/>
      <c r="GW87" s="262"/>
      <c r="GX87" s="262"/>
      <c r="GY87" s="262"/>
      <c r="GZ87" s="262"/>
      <c r="HA87" s="262"/>
      <c r="HB87" s="262"/>
      <c r="HC87" s="262"/>
      <c r="HD87" s="262"/>
      <c r="HE87" s="262"/>
      <c r="HF87" s="262"/>
      <c r="HG87" s="262"/>
      <c r="HH87" s="262"/>
      <c r="HI87" s="262"/>
      <c r="HJ87" s="262"/>
      <c r="HK87" s="262"/>
      <c r="HL87" s="262"/>
      <c r="HM87" s="262"/>
      <c r="HN87" s="262"/>
      <c r="HO87" s="262"/>
      <c r="HP87" s="262"/>
      <c r="HQ87" s="262"/>
      <c r="HR87" s="262"/>
      <c r="HS87" s="262"/>
      <c r="HT87" s="262"/>
      <c r="HU87" s="262"/>
      <c r="HV87" s="262"/>
      <c r="HW87" s="262"/>
      <c r="HX87" s="262"/>
      <c r="HY87" s="262"/>
      <c r="HZ87" s="262"/>
      <c r="IA87" s="262"/>
      <c r="IB87" s="262"/>
      <c r="IC87" s="262"/>
      <c r="ID87" s="262"/>
      <c r="IE87" s="262"/>
      <c r="IF87" s="262"/>
      <c r="IG87" s="262"/>
      <c r="IH87" s="262"/>
      <c r="II87" s="262"/>
      <c r="IJ87" s="262"/>
      <c r="IK87" s="262"/>
      <c r="IL87" s="262"/>
      <c r="IM87" s="262"/>
      <c r="IN87" s="262"/>
      <c r="IO87" s="262"/>
      <c r="IP87" s="262"/>
      <c r="IQ87" s="262"/>
      <c r="IR87" s="262"/>
      <c r="IS87" s="262"/>
      <c r="IT87" s="262"/>
      <c r="IU87" s="262"/>
      <c r="IV87" s="262"/>
      <c r="IW87" s="262"/>
      <c r="IX87" s="262"/>
      <c r="IY87" s="262"/>
      <c r="IZ87" s="262"/>
      <c r="JA87" s="262"/>
      <c r="JB87" s="262"/>
      <c r="JC87" s="262"/>
      <c r="JD87" s="262"/>
      <c r="JE87" s="262"/>
      <c r="JF87" s="262"/>
      <c r="JG87" s="262"/>
      <c r="JH87" s="262"/>
      <c r="JI87" s="262"/>
      <c r="JJ87" s="262"/>
      <c r="JK87" s="262"/>
      <c r="JL87" s="262"/>
      <c r="JM87" s="262"/>
      <c r="JN87" s="262"/>
      <c r="JO87" s="262"/>
      <c r="JP87" s="262"/>
      <c r="JQ87" s="262"/>
      <c r="JR87" s="262"/>
      <c r="JS87" s="262"/>
      <c r="JT87" s="262"/>
      <c r="JU87" s="262"/>
      <c r="JV87" s="262"/>
      <c r="JW87" s="262"/>
      <c r="JX87" s="262"/>
      <c r="JY87" s="262"/>
      <c r="JZ87" s="262"/>
      <c r="KA87" s="262"/>
      <c r="KB87" s="262"/>
      <c r="KC87" s="262"/>
      <c r="KD87" s="262"/>
      <c r="KE87" s="262"/>
      <c r="KF87" s="262"/>
      <c r="KG87" s="262"/>
      <c r="KH87" s="262"/>
      <c r="KI87" s="262"/>
      <c r="KJ87" s="262"/>
      <c r="KK87" s="262"/>
      <c r="KL87" s="262"/>
      <c r="KM87" s="262"/>
      <c r="KN87" s="262"/>
      <c r="KO87" s="262"/>
      <c r="KP87" s="262"/>
      <c r="KQ87" s="262"/>
      <c r="KR87" s="262"/>
      <c r="KS87" s="262"/>
      <c r="KT87" s="262"/>
      <c r="KU87" s="262"/>
      <c r="KV87" s="262"/>
      <c r="KW87" s="262"/>
      <c r="KX87" s="262"/>
      <c r="KY87" s="262"/>
      <c r="KZ87" s="262"/>
    </row>
    <row r="88" spans="1:312" s="85" customFormat="1" ht="50" customHeight="1">
      <c r="A88" s="263" t="s">
        <v>157</v>
      </c>
      <c r="B88" s="264"/>
      <c r="C88" s="86"/>
      <c r="D88" s="86"/>
      <c r="E88" s="60">
        <v>1715</v>
      </c>
      <c r="F88" s="86" t="e">
        <f t="shared" si="2"/>
        <v>#DIV/0!</v>
      </c>
      <c r="G88" s="87">
        <v>4</v>
      </c>
      <c r="H88" s="87">
        <v>7</v>
      </c>
      <c r="I88" s="87"/>
      <c r="J88" s="87" t="s">
        <v>204</v>
      </c>
      <c r="K88" s="89" t="s">
        <v>409</v>
      </c>
      <c r="L88" s="90" t="s">
        <v>689</v>
      </c>
      <c r="M88" s="90" t="s">
        <v>689</v>
      </c>
      <c r="N88" s="91" t="s">
        <v>335</v>
      </c>
      <c r="O88" s="91" t="s">
        <v>335</v>
      </c>
      <c r="P88" s="92"/>
      <c r="Q88" s="95" t="s">
        <v>689</v>
      </c>
      <c r="R88" s="95" t="s">
        <v>689</v>
      </c>
      <c r="S88" s="60">
        <v>1715</v>
      </c>
      <c r="T88" s="263">
        <f t="shared" si="3"/>
        <v>6860</v>
      </c>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c r="DA88" s="262"/>
      <c r="DB88" s="262"/>
      <c r="DC88" s="262"/>
      <c r="DD88" s="262"/>
      <c r="DE88" s="262"/>
      <c r="DF88" s="262"/>
      <c r="DG88" s="262"/>
      <c r="DH88" s="262"/>
      <c r="DI88" s="262"/>
      <c r="DJ88" s="262"/>
      <c r="DK88" s="262"/>
      <c r="DL88" s="262"/>
      <c r="DM88" s="262"/>
      <c r="DN88" s="262"/>
      <c r="DO88" s="262"/>
      <c r="DP88" s="262"/>
      <c r="DQ88" s="262"/>
      <c r="DR88" s="262"/>
      <c r="DS88" s="262"/>
      <c r="DT88" s="262"/>
      <c r="DU88" s="262"/>
      <c r="DV88" s="262"/>
      <c r="DW88" s="262"/>
      <c r="DX88" s="262"/>
      <c r="DY88" s="262"/>
      <c r="DZ88" s="262"/>
      <c r="EA88" s="262"/>
      <c r="EB88" s="262"/>
      <c r="EC88" s="262"/>
      <c r="ED88" s="262"/>
      <c r="EE88" s="262"/>
      <c r="EF88" s="262"/>
      <c r="EG88" s="262"/>
      <c r="EH88" s="262"/>
      <c r="EI88" s="262"/>
      <c r="EJ88" s="262"/>
      <c r="EK88" s="262"/>
      <c r="EL88" s="262"/>
      <c r="EM88" s="262"/>
      <c r="EN88" s="262"/>
      <c r="EO88" s="262"/>
      <c r="EP88" s="262"/>
      <c r="EQ88" s="262"/>
      <c r="ER88" s="262"/>
      <c r="ES88" s="262"/>
      <c r="ET88" s="262"/>
      <c r="EU88" s="262"/>
      <c r="EV88" s="262"/>
      <c r="EW88" s="262"/>
      <c r="EX88" s="262"/>
      <c r="EY88" s="262"/>
      <c r="EZ88" s="262"/>
      <c r="FA88" s="262"/>
      <c r="FB88" s="262"/>
      <c r="FC88" s="262"/>
      <c r="FD88" s="262"/>
      <c r="FE88" s="262"/>
      <c r="FF88" s="262"/>
      <c r="FG88" s="262"/>
      <c r="FH88" s="262"/>
      <c r="FI88" s="262"/>
      <c r="FJ88" s="262"/>
      <c r="FK88" s="262"/>
      <c r="FL88" s="262"/>
      <c r="FM88" s="262"/>
      <c r="FN88" s="262"/>
      <c r="FO88" s="262"/>
      <c r="FP88" s="262"/>
      <c r="FQ88" s="262"/>
      <c r="FR88" s="262"/>
      <c r="FS88" s="262"/>
      <c r="FT88" s="262"/>
      <c r="FU88" s="262"/>
      <c r="FV88" s="262"/>
      <c r="FW88" s="262"/>
      <c r="FX88" s="262"/>
      <c r="FY88" s="262"/>
      <c r="FZ88" s="262"/>
      <c r="GA88" s="262"/>
      <c r="GB88" s="262"/>
      <c r="GC88" s="262"/>
      <c r="GD88" s="262"/>
      <c r="GE88" s="262"/>
      <c r="GF88" s="262"/>
      <c r="GG88" s="262"/>
      <c r="GH88" s="262"/>
      <c r="GI88" s="262"/>
      <c r="GJ88" s="262"/>
      <c r="GK88" s="262"/>
      <c r="GL88" s="262"/>
      <c r="GM88" s="262"/>
      <c r="GN88" s="262"/>
      <c r="GO88" s="262"/>
      <c r="GP88" s="262"/>
      <c r="GQ88" s="262"/>
      <c r="GR88" s="262"/>
      <c r="GS88" s="262"/>
      <c r="GT88" s="262"/>
      <c r="GU88" s="262"/>
      <c r="GV88" s="262"/>
      <c r="GW88" s="262"/>
      <c r="GX88" s="262"/>
      <c r="GY88" s="262"/>
      <c r="GZ88" s="262"/>
      <c r="HA88" s="262"/>
      <c r="HB88" s="262"/>
      <c r="HC88" s="262"/>
      <c r="HD88" s="262"/>
      <c r="HE88" s="262"/>
      <c r="HF88" s="262"/>
      <c r="HG88" s="262"/>
      <c r="HH88" s="262"/>
      <c r="HI88" s="262"/>
      <c r="HJ88" s="262"/>
      <c r="HK88" s="262"/>
      <c r="HL88" s="262"/>
      <c r="HM88" s="262"/>
      <c r="HN88" s="262"/>
      <c r="HO88" s="262"/>
      <c r="HP88" s="262"/>
      <c r="HQ88" s="262"/>
      <c r="HR88" s="262"/>
      <c r="HS88" s="262"/>
      <c r="HT88" s="262"/>
      <c r="HU88" s="262"/>
      <c r="HV88" s="262"/>
      <c r="HW88" s="262"/>
      <c r="HX88" s="262"/>
      <c r="HY88" s="262"/>
      <c r="HZ88" s="262"/>
      <c r="IA88" s="262"/>
      <c r="IB88" s="262"/>
      <c r="IC88" s="262"/>
      <c r="ID88" s="262"/>
      <c r="IE88" s="262"/>
      <c r="IF88" s="262"/>
      <c r="IG88" s="262"/>
      <c r="IH88" s="262"/>
      <c r="II88" s="262"/>
      <c r="IJ88" s="262"/>
      <c r="IK88" s="262"/>
      <c r="IL88" s="262"/>
      <c r="IM88" s="262"/>
      <c r="IN88" s="262"/>
      <c r="IO88" s="262"/>
      <c r="IP88" s="262"/>
      <c r="IQ88" s="262"/>
      <c r="IR88" s="262"/>
      <c r="IS88" s="262"/>
      <c r="IT88" s="262"/>
      <c r="IU88" s="262"/>
      <c r="IV88" s="262"/>
      <c r="IW88" s="262"/>
      <c r="IX88" s="262"/>
      <c r="IY88" s="262"/>
      <c r="IZ88" s="262"/>
      <c r="JA88" s="262"/>
      <c r="JB88" s="262"/>
      <c r="JC88" s="262"/>
      <c r="JD88" s="262"/>
      <c r="JE88" s="262"/>
      <c r="JF88" s="262"/>
      <c r="JG88" s="262"/>
      <c r="JH88" s="262"/>
      <c r="JI88" s="262"/>
      <c r="JJ88" s="262"/>
      <c r="JK88" s="262"/>
      <c r="JL88" s="262"/>
      <c r="JM88" s="262"/>
      <c r="JN88" s="262"/>
      <c r="JO88" s="262"/>
      <c r="JP88" s="262"/>
      <c r="JQ88" s="262"/>
      <c r="JR88" s="262"/>
      <c r="JS88" s="262"/>
      <c r="JT88" s="262"/>
      <c r="JU88" s="262"/>
      <c r="JV88" s="262"/>
      <c r="JW88" s="262"/>
      <c r="JX88" s="262"/>
      <c r="JY88" s="262"/>
      <c r="JZ88" s="262"/>
      <c r="KA88" s="262"/>
      <c r="KB88" s="262"/>
      <c r="KC88" s="262"/>
      <c r="KD88" s="262"/>
      <c r="KE88" s="262"/>
      <c r="KF88" s="262"/>
      <c r="KG88" s="262"/>
      <c r="KH88" s="262"/>
      <c r="KI88" s="262"/>
      <c r="KJ88" s="262"/>
      <c r="KK88" s="262"/>
      <c r="KL88" s="262"/>
      <c r="KM88" s="262"/>
      <c r="KN88" s="262"/>
      <c r="KO88" s="262"/>
      <c r="KP88" s="262"/>
      <c r="KQ88" s="262"/>
      <c r="KR88" s="262"/>
      <c r="KS88" s="262"/>
      <c r="KT88" s="262"/>
      <c r="KU88" s="262"/>
      <c r="KV88" s="262"/>
      <c r="KW88" s="262"/>
      <c r="KX88" s="262"/>
      <c r="KY88" s="262"/>
      <c r="KZ88" s="262"/>
    </row>
    <row r="89" spans="1:312" s="85" customFormat="1" ht="50" customHeight="1">
      <c r="A89" s="263" t="s">
        <v>274</v>
      </c>
      <c r="B89" s="264">
        <v>22962</v>
      </c>
      <c r="C89" s="86">
        <v>1993</v>
      </c>
      <c r="D89" s="86">
        <v>878</v>
      </c>
      <c r="E89" s="60">
        <v>1599</v>
      </c>
      <c r="F89" s="86">
        <f t="shared" si="2"/>
        <v>2.2699316628701594</v>
      </c>
      <c r="G89" s="87">
        <v>4</v>
      </c>
      <c r="H89" s="87">
        <v>6</v>
      </c>
      <c r="I89" s="87"/>
      <c r="J89" s="92" t="s">
        <v>707</v>
      </c>
      <c r="K89" s="89" t="s">
        <v>275</v>
      </c>
      <c r="L89" s="90" t="s">
        <v>689</v>
      </c>
      <c r="M89" s="94"/>
      <c r="N89" s="91" t="s">
        <v>335</v>
      </c>
      <c r="O89" s="91" t="s">
        <v>335</v>
      </c>
      <c r="P89" s="92"/>
      <c r="Q89" s="95" t="s">
        <v>689</v>
      </c>
      <c r="R89" s="95"/>
      <c r="S89" s="60">
        <v>1599</v>
      </c>
      <c r="T89" s="263">
        <f t="shared" si="3"/>
        <v>6396</v>
      </c>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2"/>
      <c r="CV89" s="262"/>
      <c r="CW89" s="262"/>
      <c r="CX89" s="262"/>
      <c r="CY89" s="262"/>
      <c r="CZ89" s="262"/>
      <c r="DA89" s="262"/>
      <c r="DB89" s="262"/>
      <c r="DC89" s="262"/>
      <c r="DD89" s="262"/>
      <c r="DE89" s="262"/>
      <c r="DF89" s="262"/>
      <c r="DG89" s="262"/>
      <c r="DH89" s="262"/>
      <c r="DI89" s="262"/>
      <c r="DJ89" s="262"/>
      <c r="DK89" s="262"/>
      <c r="DL89" s="262"/>
      <c r="DM89" s="262"/>
      <c r="DN89" s="262"/>
      <c r="DO89" s="262"/>
      <c r="DP89" s="262"/>
      <c r="DQ89" s="262"/>
      <c r="DR89" s="262"/>
      <c r="DS89" s="262"/>
      <c r="DT89" s="262"/>
      <c r="DU89" s="262"/>
      <c r="DV89" s="262"/>
      <c r="DW89" s="262"/>
      <c r="DX89" s="262"/>
      <c r="DY89" s="262"/>
      <c r="DZ89" s="262"/>
      <c r="EA89" s="262"/>
      <c r="EB89" s="262"/>
      <c r="EC89" s="262"/>
      <c r="ED89" s="262"/>
      <c r="EE89" s="262"/>
      <c r="EF89" s="262"/>
      <c r="EG89" s="262"/>
      <c r="EH89" s="262"/>
      <c r="EI89" s="262"/>
      <c r="EJ89" s="262"/>
      <c r="EK89" s="262"/>
      <c r="EL89" s="262"/>
      <c r="EM89" s="262"/>
      <c r="EN89" s="262"/>
      <c r="EO89" s="262"/>
      <c r="EP89" s="262"/>
      <c r="EQ89" s="262"/>
      <c r="ER89" s="262"/>
      <c r="ES89" s="262"/>
      <c r="ET89" s="262"/>
      <c r="EU89" s="262"/>
      <c r="EV89" s="262"/>
      <c r="EW89" s="262"/>
      <c r="EX89" s="262"/>
      <c r="EY89" s="262"/>
      <c r="EZ89" s="262"/>
      <c r="FA89" s="262"/>
      <c r="FB89" s="262"/>
      <c r="FC89" s="262"/>
      <c r="FD89" s="262"/>
      <c r="FE89" s="262"/>
      <c r="FF89" s="262"/>
      <c r="FG89" s="262"/>
      <c r="FH89" s="262"/>
      <c r="FI89" s="262"/>
      <c r="FJ89" s="262"/>
      <c r="FK89" s="262"/>
      <c r="FL89" s="262"/>
      <c r="FM89" s="262"/>
      <c r="FN89" s="262"/>
      <c r="FO89" s="262"/>
      <c r="FP89" s="262"/>
      <c r="FQ89" s="262"/>
      <c r="FR89" s="262"/>
      <c r="FS89" s="262"/>
      <c r="FT89" s="262"/>
      <c r="FU89" s="262"/>
      <c r="FV89" s="262"/>
      <c r="FW89" s="262"/>
      <c r="FX89" s="262"/>
      <c r="FY89" s="262"/>
      <c r="FZ89" s="262"/>
      <c r="GA89" s="262"/>
      <c r="GB89" s="262"/>
      <c r="GC89" s="262"/>
      <c r="GD89" s="262"/>
      <c r="GE89" s="262"/>
      <c r="GF89" s="262"/>
      <c r="GG89" s="262"/>
      <c r="GH89" s="262"/>
      <c r="GI89" s="262"/>
      <c r="GJ89" s="262"/>
      <c r="GK89" s="262"/>
      <c r="GL89" s="262"/>
      <c r="GM89" s="262"/>
      <c r="GN89" s="262"/>
      <c r="GO89" s="262"/>
      <c r="GP89" s="262"/>
      <c r="GQ89" s="262"/>
      <c r="GR89" s="262"/>
      <c r="GS89" s="262"/>
      <c r="GT89" s="262"/>
      <c r="GU89" s="262"/>
      <c r="GV89" s="262"/>
      <c r="GW89" s="262"/>
      <c r="GX89" s="262"/>
      <c r="GY89" s="262"/>
      <c r="GZ89" s="262"/>
      <c r="HA89" s="262"/>
      <c r="HB89" s="262"/>
      <c r="HC89" s="262"/>
      <c r="HD89" s="262"/>
      <c r="HE89" s="262"/>
      <c r="HF89" s="262"/>
      <c r="HG89" s="262"/>
      <c r="HH89" s="262"/>
      <c r="HI89" s="262"/>
      <c r="HJ89" s="262"/>
      <c r="HK89" s="262"/>
      <c r="HL89" s="262"/>
      <c r="HM89" s="262"/>
      <c r="HN89" s="262"/>
      <c r="HO89" s="262"/>
      <c r="HP89" s="262"/>
      <c r="HQ89" s="262"/>
      <c r="HR89" s="262"/>
      <c r="HS89" s="262"/>
      <c r="HT89" s="262"/>
      <c r="HU89" s="262"/>
      <c r="HV89" s="262"/>
      <c r="HW89" s="262"/>
      <c r="HX89" s="262"/>
      <c r="HY89" s="262"/>
      <c r="HZ89" s="262"/>
      <c r="IA89" s="262"/>
      <c r="IB89" s="262"/>
      <c r="IC89" s="262"/>
      <c r="ID89" s="262"/>
      <c r="IE89" s="262"/>
      <c r="IF89" s="262"/>
      <c r="IG89" s="262"/>
      <c r="IH89" s="262"/>
      <c r="II89" s="262"/>
      <c r="IJ89" s="262"/>
      <c r="IK89" s="262"/>
      <c r="IL89" s="262"/>
      <c r="IM89" s="262"/>
      <c r="IN89" s="262"/>
      <c r="IO89" s="262"/>
      <c r="IP89" s="262"/>
      <c r="IQ89" s="262"/>
      <c r="IR89" s="262"/>
      <c r="IS89" s="262"/>
      <c r="IT89" s="262"/>
      <c r="IU89" s="262"/>
      <c r="IV89" s="262"/>
      <c r="IW89" s="262"/>
      <c r="IX89" s="262"/>
      <c r="IY89" s="262"/>
      <c r="IZ89" s="262"/>
      <c r="JA89" s="262"/>
      <c r="JB89" s="262"/>
      <c r="JC89" s="262"/>
      <c r="JD89" s="262"/>
      <c r="JE89" s="262"/>
      <c r="JF89" s="262"/>
      <c r="JG89" s="262"/>
      <c r="JH89" s="262"/>
      <c r="JI89" s="262"/>
      <c r="JJ89" s="262"/>
      <c r="JK89" s="262"/>
      <c r="JL89" s="262"/>
      <c r="JM89" s="262"/>
      <c r="JN89" s="262"/>
      <c r="JO89" s="262"/>
      <c r="JP89" s="262"/>
      <c r="JQ89" s="262"/>
      <c r="JR89" s="262"/>
      <c r="JS89" s="262"/>
      <c r="JT89" s="262"/>
      <c r="JU89" s="262"/>
      <c r="JV89" s="262"/>
      <c r="JW89" s="262"/>
      <c r="JX89" s="262"/>
      <c r="JY89" s="262"/>
      <c r="JZ89" s="262"/>
      <c r="KA89" s="262"/>
      <c r="KB89" s="262"/>
      <c r="KC89" s="262"/>
      <c r="KD89" s="262"/>
      <c r="KE89" s="262"/>
      <c r="KF89" s="262"/>
      <c r="KG89" s="262"/>
      <c r="KH89" s="262"/>
      <c r="KI89" s="262"/>
      <c r="KJ89" s="262"/>
      <c r="KK89" s="262"/>
      <c r="KL89" s="262"/>
      <c r="KM89" s="262"/>
      <c r="KN89" s="262"/>
      <c r="KO89" s="262"/>
      <c r="KP89" s="262"/>
      <c r="KQ89" s="262"/>
      <c r="KR89" s="262"/>
      <c r="KS89" s="262"/>
      <c r="KT89" s="262"/>
      <c r="KU89" s="262"/>
      <c r="KV89" s="262"/>
      <c r="KW89" s="262"/>
      <c r="KX89" s="262"/>
      <c r="KY89" s="262"/>
      <c r="KZ89" s="262"/>
    </row>
    <row r="90" spans="1:312" s="85" customFormat="1" ht="50" customHeight="1">
      <c r="A90" s="263" t="s">
        <v>151</v>
      </c>
      <c r="B90" s="264"/>
      <c r="C90" s="86"/>
      <c r="D90" s="86"/>
      <c r="E90" s="60">
        <v>1599</v>
      </c>
      <c r="F90" s="86" t="e">
        <f t="shared" si="2"/>
        <v>#DIV/0!</v>
      </c>
      <c r="G90" s="87">
        <v>4</v>
      </c>
      <c r="H90" s="87">
        <v>6</v>
      </c>
      <c r="I90" s="87"/>
      <c r="J90" s="87" t="s">
        <v>217</v>
      </c>
      <c r="K90" s="89" t="s">
        <v>396</v>
      </c>
      <c r="L90" s="90" t="s">
        <v>689</v>
      </c>
      <c r="M90" s="94"/>
      <c r="N90" s="91" t="s">
        <v>335</v>
      </c>
      <c r="O90" s="91" t="s">
        <v>335</v>
      </c>
      <c r="P90" s="92"/>
      <c r="Q90" s="93" t="s">
        <v>689</v>
      </c>
      <c r="R90" s="95"/>
      <c r="S90" s="60">
        <v>1599</v>
      </c>
      <c r="T90" s="263">
        <f t="shared" si="3"/>
        <v>6396</v>
      </c>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262"/>
      <c r="BT90" s="262"/>
      <c r="BU90" s="262"/>
      <c r="BV90" s="262"/>
      <c r="BW90" s="262"/>
      <c r="BX90" s="262"/>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2"/>
      <c r="CV90" s="262"/>
      <c r="CW90" s="262"/>
      <c r="CX90" s="262"/>
      <c r="CY90" s="262"/>
      <c r="CZ90" s="262"/>
      <c r="DA90" s="262"/>
      <c r="DB90" s="262"/>
      <c r="DC90" s="262"/>
      <c r="DD90" s="262"/>
      <c r="DE90" s="262"/>
      <c r="DF90" s="262"/>
      <c r="DG90" s="262"/>
      <c r="DH90" s="262"/>
      <c r="DI90" s="262"/>
      <c r="DJ90" s="262"/>
      <c r="DK90" s="262"/>
      <c r="DL90" s="262"/>
      <c r="DM90" s="262"/>
      <c r="DN90" s="262"/>
      <c r="DO90" s="262"/>
      <c r="DP90" s="262"/>
      <c r="DQ90" s="262"/>
      <c r="DR90" s="262"/>
      <c r="DS90" s="262"/>
      <c r="DT90" s="262"/>
      <c r="DU90" s="262"/>
      <c r="DV90" s="262"/>
      <c r="DW90" s="262"/>
      <c r="DX90" s="262"/>
      <c r="DY90" s="262"/>
      <c r="DZ90" s="262"/>
      <c r="EA90" s="262"/>
      <c r="EB90" s="262"/>
      <c r="EC90" s="262"/>
      <c r="ED90" s="262"/>
      <c r="EE90" s="262"/>
      <c r="EF90" s="262"/>
      <c r="EG90" s="262"/>
      <c r="EH90" s="262"/>
      <c r="EI90" s="262"/>
      <c r="EJ90" s="262"/>
      <c r="EK90" s="262"/>
      <c r="EL90" s="262"/>
      <c r="EM90" s="262"/>
      <c r="EN90" s="262"/>
      <c r="EO90" s="262"/>
      <c r="EP90" s="262"/>
      <c r="EQ90" s="262"/>
      <c r="ER90" s="262"/>
      <c r="ES90" s="262"/>
      <c r="ET90" s="262"/>
      <c r="EU90" s="262"/>
      <c r="EV90" s="262"/>
      <c r="EW90" s="262"/>
      <c r="EX90" s="262"/>
      <c r="EY90" s="262"/>
      <c r="EZ90" s="262"/>
      <c r="FA90" s="262"/>
      <c r="FB90" s="262"/>
      <c r="FC90" s="262"/>
      <c r="FD90" s="262"/>
      <c r="FE90" s="262"/>
      <c r="FF90" s="262"/>
      <c r="FG90" s="262"/>
      <c r="FH90" s="262"/>
      <c r="FI90" s="262"/>
      <c r="FJ90" s="262"/>
      <c r="FK90" s="262"/>
      <c r="FL90" s="262"/>
      <c r="FM90" s="262"/>
      <c r="FN90" s="262"/>
      <c r="FO90" s="262"/>
      <c r="FP90" s="262"/>
      <c r="FQ90" s="262"/>
      <c r="FR90" s="262"/>
      <c r="FS90" s="262"/>
      <c r="FT90" s="262"/>
      <c r="FU90" s="262"/>
      <c r="FV90" s="262"/>
      <c r="FW90" s="262"/>
      <c r="FX90" s="262"/>
      <c r="FY90" s="262"/>
      <c r="FZ90" s="262"/>
      <c r="GA90" s="262"/>
      <c r="GB90" s="262"/>
      <c r="GC90" s="262"/>
      <c r="GD90" s="262"/>
      <c r="GE90" s="262"/>
      <c r="GF90" s="262"/>
      <c r="GG90" s="262"/>
      <c r="GH90" s="262"/>
      <c r="GI90" s="262"/>
      <c r="GJ90" s="262"/>
      <c r="GK90" s="262"/>
      <c r="GL90" s="262"/>
      <c r="GM90" s="262"/>
      <c r="GN90" s="262"/>
      <c r="GO90" s="262"/>
      <c r="GP90" s="262"/>
      <c r="GQ90" s="262"/>
      <c r="GR90" s="262"/>
      <c r="GS90" s="262"/>
      <c r="GT90" s="262"/>
      <c r="GU90" s="262"/>
      <c r="GV90" s="262"/>
      <c r="GW90" s="262"/>
      <c r="GX90" s="262"/>
      <c r="GY90" s="262"/>
      <c r="GZ90" s="262"/>
      <c r="HA90" s="262"/>
      <c r="HB90" s="262"/>
      <c r="HC90" s="262"/>
      <c r="HD90" s="262"/>
      <c r="HE90" s="262"/>
      <c r="HF90" s="262"/>
      <c r="HG90" s="262"/>
      <c r="HH90" s="262"/>
      <c r="HI90" s="262"/>
      <c r="HJ90" s="262"/>
      <c r="HK90" s="262"/>
      <c r="HL90" s="262"/>
      <c r="HM90" s="262"/>
      <c r="HN90" s="262"/>
      <c r="HO90" s="262"/>
      <c r="HP90" s="262"/>
      <c r="HQ90" s="262"/>
      <c r="HR90" s="262"/>
      <c r="HS90" s="262"/>
      <c r="HT90" s="262"/>
      <c r="HU90" s="262"/>
      <c r="HV90" s="262"/>
      <c r="HW90" s="262"/>
      <c r="HX90" s="262"/>
      <c r="HY90" s="262"/>
      <c r="HZ90" s="262"/>
      <c r="IA90" s="262"/>
      <c r="IB90" s="262"/>
      <c r="IC90" s="262"/>
      <c r="ID90" s="262"/>
      <c r="IE90" s="262"/>
      <c r="IF90" s="262"/>
      <c r="IG90" s="262"/>
      <c r="IH90" s="262"/>
      <c r="II90" s="262"/>
      <c r="IJ90" s="262"/>
      <c r="IK90" s="262"/>
      <c r="IL90" s="262"/>
      <c r="IM90" s="262"/>
      <c r="IN90" s="262"/>
      <c r="IO90" s="262"/>
      <c r="IP90" s="262"/>
      <c r="IQ90" s="262"/>
      <c r="IR90" s="262"/>
      <c r="IS90" s="262"/>
      <c r="IT90" s="262"/>
      <c r="IU90" s="262"/>
      <c r="IV90" s="262"/>
      <c r="IW90" s="262"/>
      <c r="IX90" s="262"/>
      <c r="IY90" s="262"/>
      <c r="IZ90" s="262"/>
      <c r="JA90" s="262"/>
      <c r="JB90" s="262"/>
      <c r="JC90" s="262"/>
      <c r="JD90" s="262"/>
      <c r="JE90" s="262"/>
      <c r="JF90" s="262"/>
      <c r="JG90" s="262"/>
      <c r="JH90" s="262"/>
      <c r="JI90" s="262"/>
      <c r="JJ90" s="262"/>
      <c r="JK90" s="262"/>
      <c r="JL90" s="262"/>
      <c r="JM90" s="262"/>
      <c r="JN90" s="262"/>
      <c r="JO90" s="262"/>
      <c r="JP90" s="262"/>
      <c r="JQ90" s="262"/>
      <c r="JR90" s="262"/>
      <c r="JS90" s="262"/>
      <c r="JT90" s="262"/>
      <c r="JU90" s="262"/>
      <c r="JV90" s="262"/>
      <c r="JW90" s="262"/>
      <c r="JX90" s="262"/>
      <c r="JY90" s="262"/>
      <c r="JZ90" s="262"/>
      <c r="KA90" s="262"/>
      <c r="KB90" s="262"/>
      <c r="KC90" s="262"/>
      <c r="KD90" s="262"/>
      <c r="KE90" s="262"/>
      <c r="KF90" s="262"/>
      <c r="KG90" s="262"/>
      <c r="KH90" s="262"/>
      <c r="KI90" s="262"/>
      <c r="KJ90" s="262"/>
      <c r="KK90" s="262"/>
      <c r="KL90" s="262"/>
      <c r="KM90" s="262"/>
      <c r="KN90" s="262"/>
      <c r="KO90" s="262"/>
      <c r="KP90" s="262"/>
      <c r="KQ90" s="262"/>
      <c r="KR90" s="262"/>
      <c r="KS90" s="262"/>
      <c r="KT90" s="262"/>
      <c r="KU90" s="262"/>
      <c r="KV90" s="262"/>
      <c r="KW90" s="262"/>
      <c r="KX90" s="262"/>
      <c r="KY90" s="262"/>
      <c r="KZ90" s="262"/>
    </row>
    <row r="91" spans="1:312" s="106" customFormat="1" ht="50" customHeight="1">
      <c r="A91" s="263" t="s">
        <v>283</v>
      </c>
      <c r="B91" s="264"/>
      <c r="C91" s="86"/>
      <c r="D91" s="86"/>
      <c r="E91" s="60">
        <v>68</v>
      </c>
      <c r="F91" s="86" t="e">
        <f t="shared" si="2"/>
        <v>#DIV/0!</v>
      </c>
      <c r="G91" s="87">
        <v>4</v>
      </c>
      <c r="H91" s="87">
        <v>6</v>
      </c>
      <c r="I91" s="87"/>
      <c r="J91" s="87" t="s">
        <v>248</v>
      </c>
      <c r="K91" s="89" t="s">
        <v>284</v>
      </c>
      <c r="L91" s="94"/>
      <c r="M91" s="94"/>
      <c r="N91" s="91"/>
      <c r="O91" s="91" t="s">
        <v>335</v>
      </c>
      <c r="P91" s="92"/>
      <c r="Q91" s="95"/>
      <c r="R91" s="95" t="s">
        <v>689</v>
      </c>
      <c r="S91" s="60">
        <v>68</v>
      </c>
      <c r="T91" s="263">
        <f t="shared" si="3"/>
        <v>272</v>
      </c>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c r="CY91" s="262"/>
      <c r="CZ91" s="262"/>
      <c r="DA91" s="262"/>
      <c r="DB91" s="262"/>
      <c r="DC91" s="262"/>
      <c r="DD91" s="262"/>
      <c r="DE91" s="262"/>
      <c r="DF91" s="262"/>
      <c r="DG91" s="262"/>
      <c r="DH91" s="262"/>
      <c r="DI91" s="262"/>
      <c r="DJ91" s="262"/>
      <c r="DK91" s="262"/>
      <c r="DL91" s="262"/>
      <c r="DM91" s="262"/>
      <c r="DN91" s="262"/>
      <c r="DO91" s="262"/>
      <c r="DP91" s="262"/>
      <c r="DQ91" s="262"/>
      <c r="DR91" s="262"/>
      <c r="DS91" s="262"/>
      <c r="DT91" s="262"/>
      <c r="DU91" s="262"/>
      <c r="DV91" s="262"/>
      <c r="DW91" s="262"/>
      <c r="DX91" s="262"/>
      <c r="DY91" s="262"/>
      <c r="DZ91" s="262"/>
      <c r="EA91" s="262"/>
      <c r="EB91" s="262"/>
      <c r="EC91" s="262"/>
      <c r="ED91" s="262"/>
      <c r="EE91" s="262"/>
      <c r="EF91" s="262"/>
      <c r="EG91" s="262"/>
      <c r="EH91" s="262"/>
      <c r="EI91" s="262"/>
      <c r="EJ91" s="262"/>
      <c r="EK91" s="262"/>
      <c r="EL91" s="262"/>
      <c r="EM91" s="262"/>
      <c r="EN91" s="262"/>
      <c r="EO91" s="262"/>
      <c r="EP91" s="262"/>
      <c r="EQ91" s="262"/>
      <c r="ER91" s="262"/>
      <c r="ES91" s="262"/>
      <c r="ET91" s="262"/>
      <c r="EU91" s="262"/>
      <c r="EV91" s="262"/>
      <c r="EW91" s="262"/>
      <c r="EX91" s="262"/>
      <c r="EY91" s="262"/>
      <c r="EZ91" s="262"/>
      <c r="FA91" s="262"/>
      <c r="FB91" s="262"/>
      <c r="FC91" s="262"/>
      <c r="FD91" s="262"/>
      <c r="FE91" s="262"/>
      <c r="FF91" s="262"/>
      <c r="FG91" s="262"/>
      <c r="FH91" s="262"/>
      <c r="FI91" s="262"/>
      <c r="FJ91" s="262"/>
      <c r="FK91" s="262"/>
      <c r="FL91" s="262"/>
      <c r="FM91" s="262"/>
      <c r="FN91" s="262"/>
      <c r="FO91" s="262"/>
      <c r="FP91" s="262"/>
      <c r="FQ91" s="262"/>
      <c r="FR91" s="262"/>
      <c r="FS91" s="262"/>
      <c r="FT91" s="262"/>
      <c r="FU91" s="262"/>
      <c r="FV91" s="262"/>
      <c r="FW91" s="262"/>
      <c r="FX91" s="262"/>
      <c r="FY91" s="262"/>
      <c r="FZ91" s="262"/>
      <c r="GA91" s="262"/>
      <c r="GB91" s="262"/>
      <c r="GC91" s="262"/>
      <c r="GD91" s="262"/>
      <c r="GE91" s="262"/>
      <c r="GF91" s="262"/>
      <c r="GG91" s="262"/>
      <c r="GH91" s="262"/>
      <c r="GI91" s="262"/>
      <c r="GJ91" s="262"/>
      <c r="GK91" s="262"/>
      <c r="GL91" s="262"/>
      <c r="GM91" s="262"/>
      <c r="GN91" s="262"/>
      <c r="GO91" s="262"/>
      <c r="GP91" s="262"/>
      <c r="GQ91" s="262"/>
      <c r="GR91" s="262"/>
      <c r="GS91" s="262"/>
      <c r="GT91" s="262"/>
      <c r="GU91" s="262"/>
      <c r="GV91" s="262"/>
      <c r="GW91" s="262"/>
      <c r="GX91" s="262"/>
      <c r="GY91" s="262"/>
      <c r="GZ91" s="262"/>
      <c r="HA91" s="262"/>
      <c r="HB91" s="262"/>
      <c r="HC91" s="262"/>
      <c r="HD91" s="262"/>
      <c r="HE91" s="262"/>
      <c r="HF91" s="262"/>
      <c r="HG91" s="262"/>
      <c r="HH91" s="262"/>
      <c r="HI91" s="262"/>
      <c r="HJ91" s="262"/>
      <c r="HK91" s="262"/>
      <c r="HL91" s="262"/>
      <c r="HM91" s="262"/>
      <c r="HN91" s="262"/>
      <c r="HO91" s="262"/>
      <c r="HP91" s="262"/>
      <c r="HQ91" s="262"/>
      <c r="HR91" s="262"/>
      <c r="HS91" s="262"/>
      <c r="HT91" s="262"/>
      <c r="HU91" s="262"/>
      <c r="HV91" s="262"/>
      <c r="HW91" s="262"/>
      <c r="HX91" s="262"/>
      <c r="HY91" s="262"/>
      <c r="HZ91" s="262"/>
      <c r="IA91" s="262"/>
      <c r="IB91" s="262"/>
      <c r="IC91" s="262"/>
      <c r="ID91" s="262"/>
      <c r="IE91" s="262"/>
      <c r="IF91" s="262"/>
      <c r="IG91" s="262"/>
      <c r="IH91" s="262"/>
      <c r="II91" s="262"/>
      <c r="IJ91" s="262"/>
      <c r="IK91" s="262"/>
      <c r="IL91" s="262"/>
      <c r="IM91" s="262"/>
      <c r="IN91" s="262"/>
      <c r="IO91" s="262"/>
      <c r="IP91" s="262"/>
      <c r="IQ91" s="262"/>
      <c r="IR91" s="262"/>
      <c r="IS91" s="262"/>
      <c r="IT91" s="262"/>
      <c r="IU91" s="262"/>
      <c r="IV91" s="262"/>
      <c r="IW91" s="262"/>
      <c r="IX91" s="262"/>
      <c r="IY91" s="262"/>
      <c r="IZ91" s="262"/>
      <c r="JA91" s="262"/>
      <c r="JB91" s="262"/>
      <c r="JC91" s="262"/>
      <c r="JD91" s="262"/>
      <c r="JE91" s="262"/>
      <c r="JF91" s="262"/>
      <c r="JG91" s="262"/>
      <c r="JH91" s="262"/>
      <c r="JI91" s="262"/>
      <c r="JJ91" s="262"/>
      <c r="JK91" s="262"/>
      <c r="JL91" s="262"/>
      <c r="JM91" s="262"/>
      <c r="JN91" s="262"/>
      <c r="JO91" s="262"/>
      <c r="JP91" s="262"/>
      <c r="JQ91" s="262"/>
      <c r="JR91" s="262"/>
      <c r="JS91" s="262"/>
      <c r="JT91" s="262"/>
      <c r="JU91" s="262"/>
      <c r="JV91" s="262"/>
      <c r="JW91" s="262"/>
      <c r="JX91" s="262"/>
      <c r="JY91" s="262"/>
      <c r="JZ91" s="262"/>
      <c r="KA91" s="262"/>
      <c r="KB91" s="262"/>
      <c r="KC91" s="262"/>
      <c r="KD91" s="262"/>
      <c r="KE91" s="262"/>
      <c r="KF91" s="262"/>
      <c r="KG91" s="262"/>
      <c r="KH91" s="262"/>
      <c r="KI91" s="262"/>
      <c r="KJ91" s="262"/>
      <c r="KK91" s="262"/>
      <c r="KL91" s="262"/>
      <c r="KM91" s="262"/>
      <c r="KN91" s="262"/>
      <c r="KO91" s="262"/>
      <c r="KP91" s="262"/>
      <c r="KQ91" s="262"/>
      <c r="KR91" s="262"/>
      <c r="KS91" s="262"/>
      <c r="KT91" s="262"/>
      <c r="KU91" s="262"/>
      <c r="KV91" s="262"/>
      <c r="KW91" s="262"/>
      <c r="KX91" s="262"/>
      <c r="KY91" s="262"/>
      <c r="KZ91" s="262"/>
    </row>
    <row r="92" spans="1:312" s="106" customFormat="1" ht="50" customHeight="1">
      <c r="A92" s="263" t="s">
        <v>528</v>
      </c>
      <c r="B92" s="264"/>
      <c r="C92" s="86"/>
      <c r="D92" s="86"/>
      <c r="E92" s="60">
        <v>1503</v>
      </c>
      <c r="F92" s="86" t="e">
        <f t="shared" si="2"/>
        <v>#DIV/0!</v>
      </c>
      <c r="G92" s="87">
        <v>4</v>
      </c>
      <c r="H92" s="87">
        <v>6</v>
      </c>
      <c r="I92" s="264"/>
      <c r="J92" s="264" t="s">
        <v>248</v>
      </c>
      <c r="K92" s="265" t="s">
        <v>529</v>
      </c>
      <c r="L92" s="97" t="s">
        <v>689</v>
      </c>
      <c r="M92" s="98"/>
      <c r="N92" s="99"/>
      <c r="O92" s="99" t="s">
        <v>335</v>
      </c>
      <c r="P92" s="266"/>
      <c r="Q92" s="93" t="s">
        <v>689</v>
      </c>
      <c r="R92" s="93"/>
      <c r="S92" s="60">
        <v>1503</v>
      </c>
      <c r="T92" s="263">
        <f t="shared" si="3"/>
        <v>6012</v>
      </c>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c r="DA92" s="262"/>
      <c r="DB92" s="262"/>
      <c r="DC92" s="262"/>
      <c r="DD92" s="262"/>
      <c r="DE92" s="262"/>
      <c r="DF92" s="262"/>
      <c r="DG92" s="262"/>
      <c r="DH92" s="262"/>
      <c r="DI92" s="262"/>
      <c r="DJ92" s="262"/>
      <c r="DK92" s="262"/>
      <c r="DL92" s="262"/>
      <c r="DM92" s="262"/>
      <c r="DN92" s="262"/>
      <c r="DO92" s="262"/>
      <c r="DP92" s="262"/>
      <c r="DQ92" s="262"/>
      <c r="DR92" s="262"/>
      <c r="DS92" s="262"/>
      <c r="DT92" s="262"/>
      <c r="DU92" s="262"/>
      <c r="DV92" s="262"/>
      <c r="DW92" s="262"/>
      <c r="DX92" s="262"/>
      <c r="DY92" s="262"/>
      <c r="DZ92" s="262"/>
      <c r="EA92" s="262"/>
      <c r="EB92" s="262"/>
      <c r="EC92" s="262"/>
      <c r="ED92" s="262"/>
      <c r="EE92" s="262"/>
      <c r="EF92" s="262"/>
      <c r="EG92" s="262"/>
      <c r="EH92" s="262"/>
      <c r="EI92" s="262"/>
      <c r="EJ92" s="262"/>
      <c r="EK92" s="262"/>
      <c r="EL92" s="262"/>
      <c r="EM92" s="262"/>
      <c r="EN92" s="262"/>
      <c r="EO92" s="262"/>
      <c r="EP92" s="262"/>
      <c r="EQ92" s="262"/>
      <c r="ER92" s="262"/>
      <c r="ES92" s="262"/>
      <c r="ET92" s="262"/>
      <c r="EU92" s="262"/>
      <c r="EV92" s="262"/>
      <c r="EW92" s="262"/>
      <c r="EX92" s="262"/>
      <c r="EY92" s="262"/>
      <c r="EZ92" s="262"/>
      <c r="FA92" s="262"/>
      <c r="FB92" s="262"/>
      <c r="FC92" s="262"/>
      <c r="FD92" s="262"/>
      <c r="FE92" s="262"/>
      <c r="FF92" s="262"/>
      <c r="FG92" s="262"/>
      <c r="FH92" s="262"/>
      <c r="FI92" s="262"/>
      <c r="FJ92" s="262"/>
      <c r="FK92" s="262"/>
      <c r="FL92" s="262"/>
      <c r="FM92" s="262"/>
      <c r="FN92" s="262"/>
      <c r="FO92" s="262"/>
      <c r="FP92" s="262"/>
      <c r="FQ92" s="262"/>
      <c r="FR92" s="262"/>
      <c r="FS92" s="262"/>
      <c r="FT92" s="262"/>
      <c r="FU92" s="262"/>
      <c r="FV92" s="262"/>
      <c r="FW92" s="262"/>
      <c r="FX92" s="262"/>
      <c r="FY92" s="262"/>
      <c r="FZ92" s="262"/>
      <c r="GA92" s="262"/>
      <c r="GB92" s="262"/>
      <c r="GC92" s="262"/>
      <c r="GD92" s="262"/>
      <c r="GE92" s="262"/>
      <c r="GF92" s="262"/>
      <c r="GG92" s="262"/>
      <c r="GH92" s="262"/>
      <c r="GI92" s="262"/>
      <c r="GJ92" s="262"/>
      <c r="GK92" s="262"/>
      <c r="GL92" s="262"/>
      <c r="GM92" s="262"/>
      <c r="GN92" s="262"/>
      <c r="GO92" s="262"/>
      <c r="GP92" s="262"/>
      <c r="GQ92" s="262"/>
      <c r="GR92" s="262"/>
      <c r="GS92" s="262"/>
      <c r="GT92" s="262"/>
      <c r="GU92" s="262"/>
      <c r="GV92" s="262"/>
      <c r="GW92" s="262"/>
      <c r="GX92" s="262"/>
      <c r="GY92" s="262"/>
      <c r="GZ92" s="262"/>
      <c r="HA92" s="262"/>
      <c r="HB92" s="262"/>
      <c r="HC92" s="262"/>
      <c r="HD92" s="262"/>
      <c r="HE92" s="262"/>
      <c r="HF92" s="262"/>
      <c r="HG92" s="262"/>
      <c r="HH92" s="262"/>
      <c r="HI92" s="262"/>
      <c r="HJ92" s="262"/>
      <c r="HK92" s="262"/>
      <c r="HL92" s="262"/>
      <c r="HM92" s="262"/>
      <c r="HN92" s="262"/>
      <c r="HO92" s="262"/>
      <c r="HP92" s="262"/>
      <c r="HQ92" s="262"/>
      <c r="HR92" s="262"/>
      <c r="HS92" s="262"/>
      <c r="HT92" s="262"/>
      <c r="HU92" s="262"/>
      <c r="HV92" s="262"/>
      <c r="HW92" s="262"/>
      <c r="HX92" s="262"/>
      <c r="HY92" s="262"/>
      <c r="HZ92" s="262"/>
      <c r="IA92" s="262"/>
      <c r="IB92" s="262"/>
      <c r="IC92" s="262"/>
      <c r="ID92" s="262"/>
      <c r="IE92" s="262"/>
      <c r="IF92" s="262"/>
      <c r="IG92" s="262"/>
      <c r="IH92" s="262"/>
      <c r="II92" s="262"/>
      <c r="IJ92" s="262"/>
      <c r="IK92" s="262"/>
      <c r="IL92" s="262"/>
      <c r="IM92" s="262"/>
      <c r="IN92" s="262"/>
      <c r="IO92" s="262"/>
      <c r="IP92" s="262"/>
      <c r="IQ92" s="262"/>
      <c r="IR92" s="262"/>
      <c r="IS92" s="262"/>
      <c r="IT92" s="262"/>
      <c r="IU92" s="262"/>
      <c r="IV92" s="262"/>
      <c r="IW92" s="262"/>
      <c r="IX92" s="262"/>
      <c r="IY92" s="262"/>
      <c r="IZ92" s="262"/>
      <c r="JA92" s="262"/>
      <c r="JB92" s="262"/>
      <c r="JC92" s="262"/>
      <c r="JD92" s="262"/>
      <c r="JE92" s="262"/>
      <c r="JF92" s="262"/>
      <c r="JG92" s="262"/>
      <c r="JH92" s="262"/>
      <c r="JI92" s="262"/>
      <c r="JJ92" s="262"/>
      <c r="JK92" s="262"/>
      <c r="JL92" s="262"/>
      <c r="JM92" s="262"/>
      <c r="JN92" s="262"/>
      <c r="JO92" s="262"/>
      <c r="JP92" s="262"/>
      <c r="JQ92" s="262"/>
      <c r="JR92" s="262"/>
      <c r="JS92" s="262"/>
      <c r="JT92" s="262"/>
      <c r="JU92" s="262"/>
      <c r="JV92" s="262"/>
      <c r="JW92" s="262"/>
      <c r="JX92" s="262"/>
      <c r="JY92" s="262"/>
      <c r="JZ92" s="262"/>
      <c r="KA92" s="262"/>
      <c r="KB92" s="262"/>
      <c r="KC92" s="262"/>
      <c r="KD92" s="262"/>
      <c r="KE92" s="262"/>
      <c r="KF92" s="262"/>
      <c r="KG92" s="262"/>
      <c r="KH92" s="262"/>
      <c r="KI92" s="262"/>
      <c r="KJ92" s="262"/>
      <c r="KK92" s="262"/>
      <c r="KL92" s="262"/>
      <c r="KM92" s="262"/>
      <c r="KN92" s="262"/>
      <c r="KO92" s="262"/>
      <c r="KP92" s="262"/>
      <c r="KQ92" s="262"/>
      <c r="KR92" s="262"/>
      <c r="KS92" s="262"/>
      <c r="KT92" s="262"/>
      <c r="KU92" s="262"/>
      <c r="KV92" s="262"/>
      <c r="KW92" s="262"/>
      <c r="KX92" s="262"/>
      <c r="KY92" s="262"/>
      <c r="KZ92" s="262"/>
    </row>
    <row r="93" spans="1:312" s="85" customFormat="1" ht="50" customHeight="1">
      <c r="A93" s="263" t="s">
        <v>530</v>
      </c>
      <c r="B93" s="264"/>
      <c r="C93" s="86"/>
      <c r="D93" s="86"/>
      <c r="E93" s="60">
        <v>68</v>
      </c>
      <c r="F93" s="86" t="e">
        <f t="shared" si="2"/>
        <v>#DIV/0!</v>
      </c>
      <c r="G93" s="87">
        <v>4</v>
      </c>
      <c r="H93" s="87">
        <v>6</v>
      </c>
      <c r="I93" s="264"/>
      <c r="J93" s="264" t="s">
        <v>248</v>
      </c>
      <c r="K93" s="265" t="s">
        <v>532</v>
      </c>
      <c r="L93" s="97"/>
      <c r="M93" s="98"/>
      <c r="N93" s="99"/>
      <c r="O93" s="99" t="s">
        <v>335</v>
      </c>
      <c r="P93" s="266"/>
      <c r="Q93" s="93" t="s">
        <v>689</v>
      </c>
      <c r="R93" s="93"/>
      <c r="S93" s="60">
        <v>68</v>
      </c>
      <c r="T93" s="263">
        <f t="shared" si="3"/>
        <v>272</v>
      </c>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c r="CY93" s="262"/>
      <c r="CZ93" s="262"/>
      <c r="DA93" s="262"/>
      <c r="DB93" s="262"/>
      <c r="DC93" s="262"/>
      <c r="DD93" s="262"/>
      <c r="DE93" s="262"/>
      <c r="DF93" s="262"/>
      <c r="DG93" s="262"/>
      <c r="DH93" s="262"/>
      <c r="DI93" s="262"/>
      <c r="DJ93" s="262"/>
      <c r="DK93" s="262"/>
      <c r="DL93" s="262"/>
      <c r="DM93" s="262"/>
      <c r="DN93" s="262"/>
      <c r="DO93" s="262"/>
      <c r="DP93" s="262"/>
      <c r="DQ93" s="262"/>
      <c r="DR93" s="262"/>
      <c r="DS93" s="262"/>
      <c r="DT93" s="262"/>
      <c r="DU93" s="262"/>
      <c r="DV93" s="262"/>
      <c r="DW93" s="262"/>
      <c r="DX93" s="262"/>
      <c r="DY93" s="262"/>
      <c r="DZ93" s="262"/>
      <c r="EA93" s="262"/>
      <c r="EB93" s="262"/>
      <c r="EC93" s="262"/>
      <c r="ED93" s="262"/>
      <c r="EE93" s="262"/>
      <c r="EF93" s="262"/>
      <c r="EG93" s="262"/>
      <c r="EH93" s="262"/>
      <c r="EI93" s="262"/>
      <c r="EJ93" s="262"/>
      <c r="EK93" s="262"/>
      <c r="EL93" s="262"/>
      <c r="EM93" s="262"/>
      <c r="EN93" s="262"/>
      <c r="EO93" s="262"/>
      <c r="EP93" s="262"/>
      <c r="EQ93" s="262"/>
      <c r="ER93" s="262"/>
      <c r="ES93" s="262"/>
      <c r="ET93" s="262"/>
      <c r="EU93" s="262"/>
      <c r="EV93" s="262"/>
      <c r="EW93" s="262"/>
      <c r="EX93" s="262"/>
      <c r="EY93" s="262"/>
      <c r="EZ93" s="262"/>
      <c r="FA93" s="262"/>
      <c r="FB93" s="262"/>
      <c r="FC93" s="262"/>
      <c r="FD93" s="262"/>
      <c r="FE93" s="262"/>
      <c r="FF93" s="262"/>
      <c r="FG93" s="262"/>
      <c r="FH93" s="262"/>
      <c r="FI93" s="262"/>
      <c r="FJ93" s="262"/>
      <c r="FK93" s="262"/>
      <c r="FL93" s="262"/>
      <c r="FM93" s="262"/>
      <c r="FN93" s="262"/>
      <c r="FO93" s="262"/>
      <c r="FP93" s="262"/>
      <c r="FQ93" s="262"/>
      <c r="FR93" s="262"/>
      <c r="FS93" s="262"/>
      <c r="FT93" s="262"/>
      <c r="FU93" s="262"/>
      <c r="FV93" s="262"/>
      <c r="FW93" s="262"/>
      <c r="FX93" s="262"/>
      <c r="FY93" s="262"/>
      <c r="FZ93" s="262"/>
      <c r="GA93" s="262"/>
      <c r="GB93" s="262"/>
      <c r="GC93" s="262"/>
      <c r="GD93" s="262"/>
      <c r="GE93" s="262"/>
      <c r="GF93" s="262"/>
      <c r="GG93" s="262"/>
      <c r="GH93" s="262"/>
      <c r="GI93" s="262"/>
      <c r="GJ93" s="262"/>
      <c r="GK93" s="262"/>
      <c r="GL93" s="262"/>
      <c r="GM93" s="262"/>
      <c r="GN93" s="262"/>
      <c r="GO93" s="262"/>
      <c r="GP93" s="262"/>
      <c r="GQ93" s="262"/>
      <c r="GR93" s="262"/>
      <c r="GS93" s="262"/>
      <c r="GT93" s="262"/>
      <c r="GU93" s="262"/>
      <c r="GV93" s="262"/>
      <c r="GW93" s="262"/>
      <c r="GX93" s="262"/>
      <c r="GY93" s="262"/>
      <c r="GZ93" s="262"/>
      <c r="HA93" s="262"/>
      <c r="HB93" s="262"/>
      <c r="HC93" s="262"/>
      <c r="HD93" s="262"/>
      <c r="HE93" s="262"/>
      <c r="HF93" s="262"/>
      <c r="HG93" s="262"/>
      <c r="HH93" s="262"/>
      <c r="HI93" s="262"/>
      <c r="HJ93" s="262"/>
      <c r="HK93" s="262"/>
      <c r="HL93" s="262"/>
      <c r="HM93" s="262"/>
      <c r="HN93" s="262"/>
      <c r="HO93" s="262"/>
      <c r="HP93" s="262"/>
      <c r="HQ93" s="262"/>
      <c r="HR93" s="262"/>
      <c r="HS93" s="262"/>
      <c r="HT93" s="262"/>
      <c r="HU93" s="262"/>
      <c r="HV93" s="262"/>
      <c r="HW93" s="262"/>
      <c r="HX93" s="262"/>
      <c r="HY93" s="262"/>
      <c r="HZ93" s="262"/>
      <c r="IA93" s="262"/>
      <c r="IB93" s="262"/>
      <c r="IC93" s="262"/>
      <c r="ID93" s="262"/>
      <c r="IE93" s="262"/>
      <c r="IF93" s="262"/>
      <c r="IG93" s="262"/>
      <c r="IH93" s="262"/>
      <c r="II93" s="262"/>
      <c r="IJ93" s="262"/>
      <c r="IK93" s="262"/>
      <c r="IL93" s="262"/>
      <c r="IM93" s="262"/>
      <c r="IN93" s="262"/>
      <c r="IO93" s="262"/>
      <c r="IP93" s="262"/>
      <c r="IQ93" s="262"/>
      <c r="IR93" s="262"/>
      <c r="IS93" s="262"/>
      <c r="IT93" s="262"/>
      <c r="IU93" s="262"/>
      <c r="IV93" s="262"/>
      <c r="IW93" s="262"/>
      <c r="IX93" s="262"/>
      <c r="IY93" s="262"/>
      <c r="IZ93" s="262"/>
      <c r="JA93" s="262"/>
      <c r="JB93" s="262"/>
      <c r="JC93" s="262"/>
      <c r="JD93" s="262"/>
      <c r="JE93" s="262"/>
      <c r="JF93" s="262"/>
      <c r="JG93" s="262"/>
      <c r="JH93" s="262"/>
      <c r="JI93" s="262"/>
      <c r="JJ93" s="262"/>
      <c r="JK93" s="262"/>
      <c r="JL93" s="262"/>
      <c r="JM93" s="262"/>
      <c r="JN93" s="262"/>
      <c r="JO93" s="262"/>
      <c r="JP93" s="262"/>
      <c r="JQ93" s="262"/>
      <c r="JR93" s="262"/>
      <c r="JS93" s="262"/>
      <c r="JT93" s="262"/>
      <c r="JU93" s="262"/>
      <c r="JV93" s="262"/>
      <c r="JW93" s="262"/>
      <c r="JX93" s="262"/>
      <c r="JY93" s="262"/>
      <c r="JZ93" s="262"/>
      <c r="KA93" s="262"/>
      <c r="KB93" s="262"/>
      <c r="KC93" s="262"/>
      <c r="KD93" s="262"/>
      <c r="KE93" s="262"/>
      <c r="KF93" s="262"/>
      <c r="KG93" s="262"/>
      <c r="KH93" s="262"/>
      <c r="KI93" s="262"/>
      <c r="KJ93" s="262"/>
      <c r="KK93" s="262"/>
      <c r="KL93" s="262"/>
      <c r="KM93" s="262"/>
      <c r="KN93" s="262"/>
      <c r="KO93" s="262"/>
      <c r="KP93" s="262"/>
      <c r="KQ93" s="262"/>
      <c r="KR93" s="262"/>
      <c r="KS93" s="262"/>
      <c r="KT93" s="262"/>
      <c r="KU93" s="262"/>
      <c r="KV93" s="262"/>
      <c r="KW93" s="262"/>
      <c r="KX93" s="262"/>
      <c r="KY93" s="262"/>
      <c r="KZ93" s="262"/>
    </row>
    <row r="94" spans="1:312" s="106" customFormat="1" ht="50" customHeight="1">
      <c r="A94" s="263" t="s">
        <v>79</v>
      </c>
      <c r="B94" s="264"/>
      <c r="C94" s="86"/>
      <c r="D94" s="86"/>
      <c r="E94" s="60">
        <v>1715</v>
      </c>
      <c r="F94" s="86" t="e">
        <f t="shared" si="2"/>
        <v>#DIV/0!</v>
      </c>
      <c r="G94" s="87">
        <v>3</v>
      </c>
      <c r="H94" s="87">
        <v>6</v>
      </c>
      <c r="I94" s="87"/>
      <c r="J94" s="264" t="s">
        <v>204</v>
      </c>
      <c r="K94" s="265" t="s">
        <v>709</v>
      </c>
      <c r="L94" s="97" t="s">
        <v>689</v>
      </c>
      <c r="M94" s="90" t="s">
        <v>689</v>
      </c>
      <c r="N94" s="99" t="s">
        <v>335</v>
      </c>
      <c r="O94" s="99" t="s">
        <v>335</v>
      </c>
      <c r="P94" s="266"/>
      <c r="Q94" s="93" t="s">
        <v>689</v>
      </c>
      <c r="R94" s="93" t="s">
        <v>689</v>
      </c>
      <c r="S94" s="60">
        <v>1715</v>
      </c>
      <c r="T94" s="263">
        <f t="shared" si="3"/>
        <v>5145</v>
      </c>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c r="CY94" s="262"/>
      <c r="CZ94" s="262"/>
      <c r="DA94" s="262"/>
      <c r="DB94" s="262"/>
      <c r="DC94" s="262"/>
      <c r="DD94" s="262"/>
      <c r="DE94" s="262"/>
      <c r="DF94" s="262"/>
      <c r="DG94" s="262"/>
      <c r="DH94" s="262"/>
      <c r="DI94" s="262"/>
      <c r="DJ94" s="262"/>
      <c r="DK94" s="262"/>
      <c r="DL94" s="262"/>
      <c r="DM94" s="262"/>
      <c r="DN94" s="262"/>
      <c r="DO94" s="262"/>
      <c r="DP94" s="262"/>
      <c r="DQ94" s="262"/>
      <c r="DR94" s="262"/>
      <c r="DS94" s="262"/>
      <c r="DT94" s="262"/>
      <c r="DU94" s="262"/>
      <c r="DV94" s="262"/>
      <c r="DW94" s="262"/>
      <c r="DX94" s="262"/>
      <c r="DY94" s="262"/>
      <c r="DZ94" s="262"/>
      <c r="EA94" s="262"/>
      <c r="EB94" s="262"/>
      <c r="EC94" s="262"/>
      <c r="ED94" s="262"/>
      <c r="EE94" s="262"/>
      <c r="EF94" s="262"/>
      <c r="EG94" s="262"/>
      <c r="EH94" s="262"/>
      <c r="EI94" s="262"/>
      <c r="EJ94" s="262"/>
      <c r="EK94" s="262"/>
      <c r="EL94" s="262"/>
      <c r="EM94" s="262"/>
      <c r="EN94" s="262"/>
      <c r="EO94" s="262"/>
      <c r="EP94" s="262"/>
      <c r="EQ94" s="262"/>
      <c r="ER94" s="262"/>
      <c r="ES94" s="262"/>
      <c r="ET94" s="262"/>
      <c r="EU94" s="262"/>
      <c r="EV94" s="262"/>
      <c r="EW94" s="262"/>
      <c r="EX94" s="262"/>
      <c r="EY94" s="262"/>
      <c r="EZ94" s="262"/>
      <c r="FA94" s="262"/>
      <c r="FB94" s="262"/>
      <c r="FC94" s="262"/>
      <c r="FD94" s="262"/>
      <c r="FE94" s="262"/>
      <c r="FF94" s="262"/>
      <c r="FG94" s="262"/>
      <c r="FH94" s="262"/>
      <c r="FI94" s="262"/>
      <c r="FJ94" s="262"/>
      <c r="FK94" s="262"/>
      <c r="FL94" s="262"/>
      <c r="FM94" s="262"/>
      <c r="FN94" s="262"/>
      <c r="FO94" s="262"/>
      <c r="FP94" s="262"/>
      <c r="FQ94" s="262"/>
      <c r="FR94" s="262"/>
      <c r="FS94" s="262"/>
      <c r="FT94" s="262"/>
      <c r="FU94" s="262"/>
      <c r="FV94" s="262"/>
      <c r="FW94" s="262"/>
      <c r="FX94" s="262"/>
      <c r="FY94" s="262"/>
      <c r="FZ94" s="262"/>
      <c r="GA94" s="262"/>
      <c r="GB94" s="262"/>
      <c r="GC94" s="262"/>
      <c r="GD94" s="262"/>
      <c r="GE94" s="262"/>
      <c r="GF94" s="262"/>
      <c r="GG94" s="262"/>
      <c r="GH94" s="262"/>
      <c r="GI94" s="262"/>
      <c r="GJ94" s="262"/>
      <c r="GK94" s="262"/>
      <c r="GL94" s="262"/>
      <c r="GM94" s="262"/>
      <c r="GN94" s="262"/>
      <c r="GO94" s="262"/>
      <c r="GP94" s="262"/>
      <c r="GQ94" s="262"/>
      <c r="GR94" s="262"/>
      <c r="GS94" s="262"/>
      <c r="GT94" s="262"/>
      <c r="GU94" s="262"/>
      <c r="GV94" s="262"/>
      <c r="GW94" s="262"/>
      <c r="GX94" s="262"/>
      <c r="GY94" s="262"/>
      <c r="GZ94" s="262"/>
      <c r="HA94" s="262"/>
      <c r="HB94" s="262"/>
      <c r="HC94" s="262"/>
      <c r="HD94" s="262"/>
      <c r="HE94" s="262"/>
      <c r="HF94" s="262"/>
      <c r="HG94" s="262"/>
      <c r="HH94" s="262"/>
      <c r="HI94" s="262"/>
      <c r="HJ94" s="262"/>
      <c r="HK94" s="262"/>
      <c r="HL94" s="262"/>
      <c r="HM94" s="262"/>
      <c r="HN94" s="262"/>
      <c r="HO94" s="262"/>
      <c r="HP94" s="262"/>
      <c r="HQ94" s="262"/>
      <c r="HR94" s="262"/>
      <c r="HS94" s="262"/>
      <c r="HT94" s="262"/>
      <c r="HU94" s="262"/>
      <c r="HV94" s="262"/>
      <c r="HW94" s="262"/>
      <c r="HX94" s="262"/>
      <c r="HY94" s="262"/>
      <c r="HZ94" s="262"/>
      <c r="IA94" s="262"/>
      <c r="IB94" s="262"/>
      <c r="IC94" s="262"/>
      <c r="ID94" s="262"/>
      <c r="IE94" s="262"/>
      <c r="IF94" s="262"/>
      <c r="IG94" s="262"/>
      <c r="IH94" s="262"/>
      <c r="II94" s="262"/>
      <c r="IJ94" s="262"/>
      <c r="IK94" s="262"/>
      <c r="IL94" s="262"/>
      <c r="IM94" s="262"/>
      <c r="IN94" s="262"/>
      <c r="IO94" s="262"/>
      <c r="IP94" s="262"/>
      <c r="IQ94" s="262"/>
      <c r="IR94" s="262"/>
      <c r="IS94" s="262"/>
      <c r="IT94" s="262"/>
      <c r="IU94" s="262"/>
      <c r="IV94" s="262"/>
      <c r="IW94" s="262"/>
      <c r="IX94" s="262"/>
      <c r="IY94" s="262"/>
      <c r="IZ94" s="262"/>
      <c r="JA94" s="262"/>
      <c r="JB94" s="262"/>
      <c r="JC94" s="262"/>
      <c r="JD94" s="262"/>
      <c r="JE94" s="262"/>
      <c r="JF94" s="262"/>
      <c r="JG94" s="262"/>
      <c r="JH94" s="262"/>
      <c r="JI94" s="262"/>
      <c r="JJ94" s="262"/>
      <c r="JK94" s="262"/>
      <c r="JL94" s="262"/>
      <c r="JM94" s="262"/>
      <c r="JN94" s="262"/>
      <c r="JO94" s="262"/>
      <c r="JP94" s="262"/>
      <c r="JQ94" s="262"/>
      <c r="JR94" s="262"/>
      <c r="JS94" s="262"/>
      <c r="JT94" s="262"/>
      <c r="JU94" s="262"/>
      <c r="JV94" s="262"/>
      <c r="JW94" s="262"/>
      <c r="JX94" s="262"/>
      <c r="JY94" s="262"/>
      <c r="JZ94" s="262"/>
      <c r="KA94" s="262"/>
      <c r="KB94" s="262"/>
      <c r="KC94" s="262"/>
      <c r="KD94" s="262"/>
      <c r="KE94" s="262"/>
      <c r="KF94" s="262"/>
      <c r="KG94" s="262"/>
      <c r="KH94" s="262"/>
      <c r="KI94" s="262"/>
      <c r="KJ94" s="262"/>
      <c r="KK94" s="262"/>
      <c r="KL94" s="262"/>
      <c r="KM94" s="262"/>
      <c r="KN94" s="262"/>
      <c r="KO94" s="262"/>
      <c r="KP94" s="262"/>
      <c r="KQ94" s="262"/>
      <c r="KR94" s="262"/>
      <c r="KS94" s="262"/>
      <c r="KT94" s="262"/>
      <c r="KU94" s="262"/>
      <c r="KV94" s="262"/>
      <c r="KW94" s="262"/>
      <c r="KX94" s="262"/>
      <c r="KY94" s="262"/>
      <c r="KZ94" s="262"/>
    </row>
    <row r="95" spans="1:312" s="106" customFormat="1" ht="50" customHeight="1">
      <c r="A95" s="263" t="s">
        <v>169</v>
      </c>
      <c r="B95" s="264"/>
      <c r="C95" s="86"/>
      <c r="D95" s="86"/>
      <c r="E95" s="60">
        <v>1503</v>
      </c>
      <c r="F95" s="86" t="e">
        <f t="shared" si="2"/>
        <v>#DIV/0!</v>
      </c>
      <c r="G95" s="87">
        <v>3</v>
      </c>
      <c r="H95" s="87">
        <v>6</v>
      </c>
      <c r="I95" s="87"/>
      <c r="J95" s="264" t="s">
        <v>204</v>
      </c>
      <c r="K95" s="265" t="s">
        <v>710</v>
      </c>
      <c r="L95" s="97" t="s">
        <v>689</v>
      </c>
      <c r="M95" s="98"/>
      <c r="N95" s="99"/>
      <c r="O95" s="99" t="s">
        <v>335</v>
      </c>
      <c r="P95" s="266"/>
      <c r="Q95" s="93" t="s">
        <v>689</v>
      </c>
      <c r="R95" s="93" t="s">
        <v>689</v>
      </c>
      <c r="S95" s="60">
        <v>1503</v>
      </c>
      <c r="T95" s="263">
        <f t="shared" si="3"/>
        <v>4509</v>
      </c>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c r="CY95" s="262"/>
      <c r="CZ95" s="262"/>
      <c r="DA95" s="262"/>
      <c r="DB95" s="262"/>
      <c r="DC95" s="262"/>
      <c r="DD95" s="262"/>
      <c r="DE95" s="262"/>
      <c r="DF95" s="262"/>
      <c r="DG95" s="262"/>
      <c r="DH95" s="262"/>
      <c r="DI95" s="262"/>
      <c r="DJ95" s="262"/>
      <c r="DK95" s="262"/>
      <c r="DL95" s="262"/>
      <c r="DM95" s="262"/>
      <c r="DN95" s="262"/>
      <c r="DO95" s="262"/>
      <c r="DP95" s="262"/>
      <c r="DQ95" s="262"/>
      <c r="DR95" s="262"/>
      <c r="DS95" s="262"/>
      <c r="DT95" s="262"/>
      <c r="DU95" s="262"/>
      <c r="DV95" s="262"/>
      <c r="DW95" s="262"/>
      <c r="DX95" s="262"/>
      <c r="DY95" s="262"/>
      <c r="DZ95" s="262"/>
      <c r="EA95" s="262"/>
      <c r="EB95" s="262"/>
      <c r="EC95" s="262"/>
      <c r="ED95" s="262"/>
      <c r="EE95" s="262"/>
      <c r="EF95" s="262"/>
      <c r="EG95" s="262"/>
      <c r="EH95" s="262"/>
      <c r="EI95" s="262"/>
      <c r="EJ95" s="262"/>
      <c r="EK95" s="262"/>
      <c r="EL95" s="262"/>
      <c r="EM95" s="262"/>
      <c r="EN95" s="262"/>
      <c r="EO95" s="262"/>
      <c r="EP95" s="262"/>
      <c r="EQ95" s="262"/>
      <c r="ER95" s="262"/>
      <c r="ES95" s="262"/>
      <c r="ET95" s="262"/>
      <c r="EU95" s="262"/>
      <c r="EV95" s="262"/>
      <c r="EW95" s="262"/>
      <c r="EX95" s="262"/>
      <c r="EY95" s="262"/>
      <c r="EZ95" s="262"/>
      <c r="FA95" s="262"/>
      <c r="FB95" s="262"/>
      <c r="FC95" s="262"/>
      <c r="FD95" s="262"/>
      <c r="FE95" s="262"/>
      <c r="FF95" s="262"/>
      <c r="FG95" s="262"/>
      <c r="FH95" s="262"/>
      <c r="FI95" s="262"/>
      <c r="FJ95" s="262"/>
      <c r="FK95" s="262"/>
      <c r="FL95" s="262"/>
      <c r="FM95" s="262"/>
      <c r="FN95" s="262"/>
      <c r="FO95" s="262"/>
      <c r="FP95" s="262"/>
      <c r="FQ95" s="262"/>
      <c r="FR95" s="262"/>
      <c r="FS95" s="262"/>
      <c r="FT95" s="262"/>
      <c r="FU95" s="262"/>
      <c r="FV95" s="262"/>
      <c r="FW95" s="262"/>
      <c r="FX95" s="262"/>
      <c r="FY95" s="262"/>
      <c r="FZ95" s="262"/>
      <c r="GA95" s="262"/>
      <c r="GB95" s="262"/>
      <c r="GC95" s="262"/>
      <c r="GD95" s="262"/>
      <c r="GE95" s="262"/>
      <c r="GF95" s="262"/>
      <c r="GG95" s="262"/>
      <c r="GH95" s="262"/>
      <c r="GI95" s="262"/>
      <c r="GJ95" s="262"/>
      <c r="GK95" s="262"/>
      <c r="GL95" s="262"/>
      <c r="GM95" s="262"/>
      <c r="GN95" s="262"/>
      <c r="GO95" s="262"/>
      <c r="GP95" s="262"/>
      <c r="GQ95" s="262"/>
      <c r="GR95" s="262"/>
      <c r="GS95" s="262"/>
      <c r="GT95" s="262"/>
      <c r="GU95" s="262"/>
      <c r="GV95" s="262"/>
      <c r="GW95" s="262"/>
      <c r="GX95" s="262"/>
      <c r="GY95" s="262"/>
      <c r="GZ95" s="262"/>
      <c r="HA95" s="262"/>
      <c r="HB95" s="262"/>
      <c r="HC95" s="262"/>
      <c r="HD95" s="262"/>
      <c r="HE95" s="262"/>
      <c r="HF95" s="262"/>
      <c r="HG95" s="262"/>
      <c r="HH95" s="262"/>
      <c r="HI95" s="262"/>
      <c r="HJ95" s="262"/>
      <c r="HK95" s="262"/>
      <c r="HL95" s="262"/>
      <c r="HM95" s="262"/>
      <c r="HN95" s="262"/>
      <c r="HO95" s="262"/>
      <c r="HP95" s="262"/>
      <c r="HQ95" s="262"/>
      <c r="HR95" s="262"/>
      <c r="HS95" s="262"/>
      <c r="HT95" s="262"/>
      <c r="HU95" s="262"/>
      <c r="HV95" s="262"/>
      <c r="HW95" s="262"/>
      <c r="HX95" s="262"/>
      <c r="HY95" s="262"/>
      <c r="HZ95" s="262"/>
      <c r="IA95" s="262"/>
      <c r="IB95" s="262"/>
      <c r="IC95" s="262"/>
      <c r="ID95" s="262"/>
      <c r="IE95" s="262"/>
      <c r="IF95" s="262"/>
      <c r="IG95" s="262"/>
      <c r="IH95" s="262"/>
      <c r="II95" s="262"/>
      <c r="IJ95" s="262"/>
      <c r="IK95" s="262"/>
      <c r="IL95" s="262"/>
      <c r="IM95" s="262"/>
      <c r="IN95" s="262"/>
      <c r="IO95" s="262"/>
      <c r="IP95" s="262"/>
      <c r="IQ95" s="262"/>
      <c r="IR95" s="262"/>
      <c r="IS95" s="262"/>
      <c r="IT95" s="262"/>
      <c r="IU95" s="262"/>
      <c r="IV95" s="262"/>
      <c r="IW95" s="262"/>
      <c r="IX95" s="262"/>
      <c r="IY95" s="262"/>
      <c r="IZ95" s="262"/>
      <c r="JA95" s="262"/>
      <c r="JB95" s="262"/>
      <c r="JC95" s="262"/>
      <c r="JD95" s="262"/>
      <c r="JE95" s="262"/>
      <c r="JF95" s="262"/>
      <c r="JG95" s="262"/>
      <c r="JH95" s="262"/>
      <c r="JI95" s="262"/>
      <c r="JJ95" s="262"/>
      <c r="JK95" s="262"/>
      <c r="JL95" s="262"/>
      <c r="JM95" s="262"/>
      <c r="JN95" s="262"/>
      <c r="JO95" s="262"/>
      <c r="JP95" s="262"/>
      <c r="JQ95" s="262"/>
      <c r="JR95" s="262"/>
      <c r="JS95" s="262"/>
      <c r="JT95" s="262"/>
      <c r="JU95" s="262"/>
      <c r="JV95" s="262"/>
      <c r="JW95" s="262"/>
      <c r="JX95" s="262"/>
      <c r="JY95" s="262"/>
      <c r="JZ95" s="262"/>
      <c r="KA95" s="262"/>
      <c r="KB95" s="262"/>
      <c r="KC95" s="262"/>
      <c r="KD95" s="262"/>
      <c r="KE95" s="262"/>
      <c r="KF95" s="262"/>
      <c r="KG95" s="262"/>
      <c r="KH95" s="262"/>
      <c r="KI95" s="262"/>
      <c r="KJ95" s="262"/>
      <c r="KK95" s="262"/>
      <c r="KL95" s="262"/>
      <c r="KM95" s="262"/>
      <c r="KN95" s="262"/>
      <c r="KO95" s="262"/>
      <c r="KP95" s="262"/>
      <c r="KQ95" s="262"/>
      <c r="KR95" s="262"/>
      <c r="KS95" s="262"/>
      <c r="KT95" s="262"/>
      <c r="KU95" s="262"/>
      <c r="KV95" s="262"/>
      <c r="KW95" s="262"/>
      <c r="KX95" s="262"/>
      <c r="KY95" s="262"/>
      <c r="KZ95" s="262"/>
    </row>
    <row r="96" spans="1:312" s="106" customFormat="1" ht="50" customHeight="1">
      <c r="A96" s="263" t="s">
        <v>329</v>
      </c>
      <c r="B96" s="264"/>
      <c r="C96" s="86"/>
      <c r="D96" s="86"/>
      <c r="E96" s="60">
        <v>68</v>
      </c>
      <c r="F96" s="86" t="e">
        <f t="shared" si="2"/>
        <v>#DIV/0!</v>
      </c>
      <c r="G96" s="87">
        <v>3</v>
      </c>
      <c r="H96" s="87">
        <v>6</v>
      </c>
      <c r="I96" s="87"/>
      <c r="J96" s="87" t="s">
        <v>204</v>
      </c>
      <c r="K96" s="89" t="s">
        <v>711</v>
      </c>
      <c r="L96" s="94"/>
      <c r="M96" s="94"/>
      <c r="N96" s="91"/>
      <c r="O96" s="91" t="s">
        <v>335</v>
      </c>
      <c r="P96" s="92"/>
      <c r="Q96" s="95" t="s">
        <v>689</v>
      </c>
      <c r="R96" s="95" t="s">
        <v>689</v>
      </c>
      <c r="S96" s="60">
        <v>68</v>
      </c>
      <c r="T96" s="263">
        <f t="shared" si="3"/>
        <v>204</v>
      </c>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c r="CY96" s="262"/>
      <c r="CZ96" s="262"/>
      <c r="DA96" s="262"/>
      <c r="DB96" s="262"/>
      <c r="DC96" s="262"/>
      <c r="DD96" s="262"/>
      <c r="DE96" s="262"/>
      <c r="DF96" s="262"/>
      <c r="DG96" s="262"/>
      <c r="DH96" s="262"/>
      <c r="DI96" s="262"/>
      <c r="DJ96" s="262"/>
      <c r="DK96" s="262"/>
      <c r="DL96" s="262"/>
      <c r="DM96" s="262"/>
      <c r="DN96" s="262"/>
      <c r="DO96" s="262"/>
      <c r="DP96" s="262"/>
      <c r="DQ96" s="262"/>
      <c r="DR96" s="262"/>
      <c r="DS96" s="262"/>
      <c r="DT96" s="262"/>
      <c r="DU96" s="262"/>
      <c r="DV96" s="262"/>
      <c r="DW96" s="262"/>
      <c r="DX96" s="262"/>
      <c r="DY96" s="262"/>
      <c r="DZ96" s="262"/>
      <c r="EA96" s="262"/>
      <c r="EB96" s="262"/>
      <c r="EC96" s="262"/>
      <c r="ED96" s="262"/>
      <c r="EE96" s="262"/>
      <c r="EF96" s="262"/>
      <c r="EG96" s="262"/>
      <c r="EH96" s="262"/>
      <c r="EI96" s="262"/>
      <c r="EJ96" s="262"/>
      <c r="EK96" s="262"/>
      <c r="EL96" s="262"/>
      <c r="EM96" s="262"/>
      <c r="EN96" s="262"/>
      <c r="EO96" s="262"/>
      <c r="EP96" s="262"/>
      <c r="EQ96" s="262"/>
      <c r="ER96" s="262"/>
      <c r="ES96" s="262"/>
      <c r="ET96" s="262"/>
      <c r="EU96" s="262"/>
      <c r="EV96" s="262"/>
      <c r="EW96" s="262"/>
      <c r="EX96" s="262"/>
      <c r="EY96" s="262"/>
      <c r="EZ96" s="262"/>
      <c r="FA96" s="262"/>
      <c r="FB96" s="262"/>
      <c r="FC96" s="262"/>
      <c r="FD96" s="262"/>
      <c r="FE96" s="262"/>
      <c r="FF96" s="262"/>
      <c r="FG96" s="262"/>
      <c r="FH96" s="262"/>
      <c r="FI96" s="262"/>
      <c r="FJ96" s="262"/>
      <c r="FK96" s="262"/>
      <c r="FL96" s="262"/>
      <c r="FM96" s="262"/>
      <c r="FN96" s="262"/>
      <c r="FO96" s="262"/>
      <c r="FP96" s="262"/>
      <c r="FQ96" s="262"/>
      <c r="FR96" s="262"/>
      <c r="FS96" s="262"/>
      <c r="FT96" s="262"/>
      <c r="FU96" s="262"/>
      <c r="FV96" s="262"/>
      <c r="FW96" s="262"/>
      <c r="FX96" s="262"/>
      <c r="FY96" s="262"/>
      <c r="FZ96" s="262"/>
      <c r="GA96" s="262"/>
      <c r="GB96" s="262"/>
      <c r="GC96" s="262"/>
      <c r="GD96" s="262"/>
      <c r="GE96" s="262"/>
      <c r="GF96" s="262"/>
      <c r="GG96" s="262"/>
      <c r="GH96" s="262"/>
      <c r="GI96" s="262"/>
      <c r="GJ96" s="262"/>
      <c r="GK96" s="262"/>
      <c r="GL96" s="262"/>
      <c r="GM96" s="262"/>
      <c r="GN96" s="262"/>
      <c r="GO96" s="262"/>
      <c r="GP96" s="262"/>
      <c r="GQ96" s="262"/>
      <c r="GR96" s="262"/>
      <c r="GS96" s="262"/>
      <c r="GT96" s="262"/>
      <c r="GU96" s="262"/>
      <c r="GV96" s="262"/>
      <c r="GW96" s="262"/>
      <c r="GX96" s="262"/>
      <c r="GY96" s="262"/>
      <c r="GZ96" s="262"/>
      <c r="HA96" s="262"/>
      <c r="HB96" s="262"/>
      <c r="HC96" s="262"/>
      <c r="HD96" s="262"/>
      <c r="HE96" s="262"/>
      <c r="HF96" s="262"/>
      <c r="HG96" s="262"/>
      <c r="HH96" s="262"/>
      <c r="HI96" s="262"/>
      <c r="HJ96" s="262"/>
      <c r="HK96" s="262"/>
      <c r="HL96" s="262"/>
      <c r="HM96" s="262"/>
      <c r="HN96" s="262"/>
      <c r="HO96" s="262"/>
      <c r="HP96" s="262"/>
      <c r="HQ96" s="262"/>
      <c r="HR96" s="262"/>
      <c r="HS96" s="262"/>
      <c r="HT96" s="262"/>
      <c r="HU96" s="262"/>
      <c r="HV96" s="262"/>
      <c r="HW96" s="262"/>
      <c r="HX96" s="262"/>
      <c r="HY96" s="262"/>
      <c r="HZ96" s="262"/>
      <c r="IA96" s="262"/>
      <c r="IB96" s="262"/>
      <c r="IC96" s="262"/>
      <c r="ID96" s="262"/>
      <c r="IE96" s="262"/>
      <c r="IF96" s="262"/>
      <c r="IG96" s="262"/>
      <c r="IH96" s="262"/>
      <c r="II96" s="262"/>
      <c r="IJ96" s="262"/>
      <c r="IK96" s="262"/>
      <c r="IL96" s="262"/>
      <c r="IM96" s="262"/>
      <c r="IN96" s="262"/>
      <c r="IO96" s="262"/>
      <c r="IP96" s="262"/>
      <c r="IQ96" s="262"/>
      <c r="IR96" s="262"/>
      <c r="IS96" s="262"/>
      <c r="IT96" s="262"/>
      <c r="IU96" s="262"/>
      <c r="IV96" s="262"/>
      <c r="IW96" s="262"/>
      <c r="IX96" s="262"/>
      <c r="IY96" s="262"/>
      <c r="IZ96" s="262"/>
      <c r="JA96" s="262"/>
      <c r="JB96" s="262"/>
      <c r="JC96" s="262"/>
      <c r="JD96" s="262"/>
      <c r="JE96" s="262"/>
      <c r="JF96" s="262"/>
      <c r="JG96" s="262"/>
      <c r="JH96" s="262"/>
      <c r="JI96" s="262"/>
      <c r="JJ96" s="262"/>
      <c r="JK96" s="262"/>
      <c r="JL96" s="262"/>
      <c r="JM96" s="262"/>
      <c r="JN96" s="262"/>
      <c r="JO96" s="262"/>
      <c r="JP96" s="262"/>
      <c r="JQ96" s="262"/>
      <c r="JR96" s="262"/>
      <c r="JS96" s="262"/>
      <c r="JT96" s="262"/>
      <c r="JU96" s="262"/>
      <c r="JV96" s="262"/>
      <c r="JW96" s="262"/>
      <c r="JX96" s="262"/>
      <c r="JY96" s="262"/>
      <c r="JZ96" s="262"/>
      <c r="KA96" s="262"/>
      <c r="KB96" s="262"/>
      <c r="KC96" s="262"/>
      <c r="KD96" s="262"/>
      <c r="KE96" s="262"/>
      <c r="KF96" s="262"/>
      <c r="KG96" s="262"/>
      <c r="KH96" s="262"/>
      <c r="KI96" s="262"/>
      <c r="KJ96" s="262"/>
      <c r="KK96" s="262"/>
      <c r="KL96" s="262"/>
      <c r="KM96" s="262"/>
      <c r="KN96" s="262"/>
      <c r="KO96" s="262"/>
      <c r="KP96" s="262"/>
      <c r="KQ96" s="262"/>
      <c r="KR96" s="262"/>
      <c r="KS96" s="262"/>
      <c r="KT96" s="262"/>
      <c r="KU96" s="262"/>
      <c r="KV96" s="262"/>
      <c r="KW96" s="262"/>
      <c r="KX96" s="262"/>
      <c r="KY96" s="262"/>
      <c r="KZ96" s="262"/>
    </row>
    <row r="97" spans="1:312" s="85" customFormat="1" ht="50" customHeight="1">
      <c r="A97" s="263" t="s">
        <v>141</v>
      </c>
      <c r="B97" s="264"/>
      <c r="C97" s="86"/>
      <c r="D97" s="86"/>
      <c r="E97" s="60">
        <v>68</v>
      </c>
      <c r="F97" s="86" t="e">
        <f t="shared" si="2"/>
        <v>#DIV/0!</v>
      </c>
      <c r="G97" s="87">
        <v>3</v>
      </c>
      <c r="H97" s="87">
        <v>6</v>
      </c>
      <c r="I97" s="87"/>
      <c r="J97" s="87" t="s">
        <v>204</v>
      </c>
      <c r="K97" s="89" t="s">
        <v>712</v>
      </c>
      <c r="L97" s="94"/>
      <c r="M97" s="94"/>
      <c r="N97" s="91"/>
      <c r="O97" s="91" t="s">
        <v>335</v>
      </c>
      <c r="P97" s="92"/>
      <c r="Q97" s="95" t="s">
        <v>689</v>
      </c>
      <c r="R97" s="95" t="s">
        <v>689</v>
      </c>
      <c r="S97" s="60">
        <v>68</v>
      </c>
      <c r="T97" s="263">
        <f t="shared" si="3"/>
        <v>204</v>
      </c>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c r="CY97" s="262"/>
      <c r="CZ97" s="262"/>
      <c r="DA97" s="262"/>
      <c r="DB97" s="262"/>
      <c r="DC97" s="262"/>
      <c r="DD97" s="262"/>
      <c r="DE97" s="262"/>
      <c r="DF97" s="262"/>
      <c r="DG97" s="262"/>
      <c r="DH97" s="262"/>
      <c r="DI97" s="262"/>
      <c r="DJ97" s="262"/>
      <c r="DK97" s="262"/>
      <c r="DL97" s="262"/>
      <c r="DM97" s="262"/>
      <c r="DN97" s="262"/>
      <c r="DO97" s="262"/>
      <c r="DP97" s="262"/>
      <c r="DQ97" s="262"/>
      <c r="DR97" s="262"/>
      <c r="DS97" s="262"/>
      <c r="DT97" s="262"/>
      <c r="DU97" s="262"/>
      <c r="DV97" s="262"/>
      <c r="DW97" s="262"/>
      <c r="DX97" s="262"/>
      <c r="DY97" s="262"/>
      <c r="DZ97" s="262"/>
      <c r="EA97" s="262"/>
      <c r="EB97" s="262"/>
      <c r="EC97" s="262"/>
      <c r="ED97" s="262"/>
      <c r="EE97" s="262"/>
      <c r="EF97" s="262"/>
      <c r="EG97" s="262"/>
      <c r="EH97" s="262"/>
      <c r="EI97" s="262"/>
      <c r="EJ97" s="262"/>
      <c r="EK97" s="262"/>
      <c r="EL97" s="262"/>
      <c r="EM97" s="262"/>
      <c r="EN97" s="262"/>
      <c r="EO97" s="262"/>
      <c r="EP97" s="262"/>
      <c r="EQ97" s="262"/>
      <c r="ER97" s="262"/>
      <c r="ES97" s="262"/>
      <c r="ET97" s="262"/>
      <c r="EU97" s="262"/>
      <c r="EV97" s="262"/>
      <c r="EW97" s="262"/>
      <c r="EX97" s="262"/>
      <c r="EY97" s="262"/>
      <c r="EZ97" s="262"/>
      <c r="FA97" s="262"/>
      <c r="FB97" s="262"/>
      <c r="FC97" s="262"/>
      <c r="FD97" s="262"/>
      <c r="FE97" s="262"/>
      <c r="FF97" s="262"/>
      <c r="FG97" s="262"/>
      <c r="FH97" s="262"/>
      <c r="FI97" s="262"/>
      <c r="FJ97" s="262"/>
      <c r="FK97" s="262"/>
      <c r="FL97" s="262"/>
      <c r="FM97" s="262"/>
      <c r="FN97" s="262"/>
      <c r="FO97" s="262"/>
      <c r="FP97" s="262"/>
      <c r="FQ97" s="262"/>
      <c r="FR97" s="262"/>
      <c r="FS97" s="262"/>
      <c r="FT97" s="262"/>
      <c r="FU97" s="262"/>
      <c r="FV97" s="262"/>
      <c r="FW97" s="262"/>
      <c r="FX97" s="262"/>
      <c r="FY97" s="262"/>
      <c r="FZ97" s="262"/>
      <c r="GA97" s="262"/>
      <c r="GB97" s="262"/>
      <c r="GC97" s="262"/>
      <c r="GD97" s="262"/>
      <c r="GE97" s="262"/>
      <c r="GF97" s="262"/>
      <c r="GG97" s="262"/>
      <c r="GH97" s="262"/>
      <c r="GI97" s="262"/>
      <c r="GJ97" s="262"/>
      <c r="GK97" s="262"/>
      <c r="GL97" s="262"/>
      <c r="GM97" s="262"/>
      <c r="GN97" s="262"/>
      <c r="GO97" s="262"/>
      <c r="GP97" s="262"/>
      <c r="GQ97" s="262"/>
      <c r="GR97" s="262"/>
      <c r="GS97" s="262"/>
      <c r="GT97" s="262"/>
      <c r="GU97" s="262"/>
      <c r="GV97" s="262"/>
      <c r="GW97" s="262"/>
      <c r="GX97" s="262"/>
      <c r="GY97" s="262"/>
      <c r="GZ97" s="262"/>
      <c r="HA97" s="262"/>
      <c r="HB97" s="262"/>
      <c r="HC97" s="262"/>
      <c r="HD97" s="262"/>
      <c r="HE97" s="262"/>
      <c r="HF97" s="262"/>
      <c r="HG97" s="262"/>
      <c r="HH97" s="262"/>
      <c r="HI97" s="262"/>
      <c r="HJ97" s="262"/>
      <c r="HK97" s="262"/>
      <c r="HL97" s="262"/>
      <c r="HM97" s="262"/>
      <c r="HN97" s="262"/>
      <c r="HO97" s="262"/>
      <c r="HP97" s="262"/>
      <c r="HQ97" s="262"/>
      <c r="HR97" s="262"/>
      <c r="HS97" s="262"/>
      <c r="HT97" s="262"/>
      <c r="HU97" s="262"/>
      <c r="HV97" s="262"/>
      <c r="HW97" s="262"/>
      <c r="HX97" s="262"/>
      <c r="HY97" s="262"/>
      <c r="HZ97" s="262"/>
      <c r="IA97" s="262"/>
      <c r="IB97" s="262"/>
      <c r="IC97" s="262"/>
      <c r="ID97" s="262"/>
      <c r="IE97" s="262"/>
      <c r="IF97" s="262"/>
      <c r="IG97" s="262"/>
      <c r="IH97" s="262"/>
      <c r="II97" s="262"/>
      <c r="IJ97" s="262"/>
      <c r="IK97" s="262"/>
      <c r="IL97" s="262"/>
      <c r="IM97" s="262"/>
      <c r="IN97" s="262"/>
      <c r="IO97" s="262"/>
      <c r="IP97" s="262"/>
      <c r="IQ97" s="262"/>
      <c r="IR97" s="262"/>
      <c r="IS97" s="262"/>
      <c r="IT97" s="262"/>
      <c r="IU97" s="262"/>
      <c r="IV97" s="262"/>
      <c r="IW97" s="262"/>
      <c r="IX97" s="262"/>
      <c r="IY97" s="262"/>
      <c r="IZ97" s="262"/>
      <c r="JA97" s="262"/>
      <c r="JB97" s="262"/>
      <c r="JC97" s="262"/>
      <c r="JD97" s="262"/>
      <c r="JE97" s="262"/>
      <c r="JF97" s="262"/>
      <c r="JG97" s="262"/>
      <c r="JH97" s="262"/>
      <c r="JI97" s="262"/>
      <c r="JJ97" s="262"/>
      <c r="JK97" s="262"/>
      <c r="JL97" s="262"/>
      <c r="JM97" s="262"/>
      <c r="JN97" s="262"/>
      <c r="JO97" s="262"/>
      <c r="JP97" s="262"/>
      <c r="JQ97" s="262"/>
      <c r="JR97" s="262"/>
      <c r="JS97" s="262"/>
      <c r="JT97" s="262"/>
      <c r="JU97" s="262"/>
      <c r="JV97" s="262"/>
      <c r="JW97" s="262"/>
      <c r="JX97" s="262"/>
      <c r="JY97" s="262"/>
      <c r="JZ97" s="262"/>
      <c r="KA97" s="262"/>
      <c r="KB97" s="262"/>
      <c r="KC97" s="262"/>
      <c r="KD97" s="262"/>
      <c r="KE97" s="262"/>
      <c r="KF97" s="262"/>
      <c r="KG97" s="262"/>
      <c r="KH97" s="262"/>
      <c r="KI97" s="262"/>
      <c r="KJ97" s="262"/>
      <c r="KK97" s="262"/>
      <c r="KL97" s="262"/>
      <c r="KM97" s="262"/>
      <c r="KN97" s="262"/>
      <c r="KO97" s="262"/>
      <c r="KP97" s="262"/>
      <c r="KQ97" s="262"/>
      <c r="KR97" s="262"/>
      <c r="KS97" s="262"/>
      <c r="KT97" s="262"/>
      <c r="KU97" s="262"/>
      <c r="KV97" s="262"/>
      <c r="KW97" s="262"/>
      <c r="KX97" s="262"/>
      <c r="KY97" s="262"/>
      <c r="KZ97" s="262"/>
    </row>
    <row r="98" spans="1:312" s="85" customFormat="1" ht="50" customHeight="1">
      <c r="A98" s="263" t="s">
        <v>103</v>
      </c>
      <c r="B98" s="264">
        <v>518507</v>
      </c>
      <c r="C98" s="86">
        <v>633</v>
      </c>
      <c r="D98" s="86">
        <v>878</v>
      </c>
      <c r="E98" s="60">
        <v>1599</v>
      </c>
      <c r="F98" s="86">
        <f t="shared" si="2"/>
        <v>0.72095671981776766</v>
      </c>
      <c r="G98" s="87">
        <v>3</v>
      </c>
      <c r="H98" s="87">
        <v>6</v>
      </c>
      <c r="I98" s="87"/>
      <c r="J98" s="87" t="s">
        <v>204</v>
      </c>
      <c r="K98" s="89" t="s">
        <v>713</v>
      </c>
      <c r="L98" s="90" t="s">
        <v>335</v>
      </c>
      <c r="M98" s="94"/>
      <c r="N98" s="91" t="s">
        <v>335</v>
      </c>
      <c r="O98" s="91" t="s">
        <v>335</v>
      </c>
      <c r="P98" s="92"/>
      <c r="Q98" s="95" t="s">
        <v>689</v>
      </c>
      <c r="R98" s="95"/>
      <c r="S98" s="60">
        <v>1599</v>
      </c>
      <c r="T98" s="263">
        <f t="shared" si="3"/>
        <v>4797</v>
      </c>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c r="CY98" s="262"/>
      <c r="CZ98" s="262"/>
      <c r="DA98" s="262"/>
      <c r="DB98" s="262"/>
      <c r="DC98" s="262"/>
      <c r="DD98" s="262"/>
      <c r="DE98" s="262"/>
      <c r="DF98" s="262"/>
      <c r="DG98" s="262"/>
      <c r="DH98" s="262"/>
      <c r="DI98" s="262"/>
      <c r="DJ98" s="262"/>
      <c r="DK98" s="262"/>
      <c r="DL98" s="262"/>
      <c r="DM98" s="262"/>
      <c r="DN98" s="262"/>
      <c r="DO98" s="262"/>
      <c r="DP98" s="262"/>
      <c r="DQ98" s="262"/>
      <c r="DR98" s="262"/>
      <c r="DS98" s="262"/>
      <c r="DT98" s="262"/>
      <c r="DU98" s="262"/>
      <c r="DV98" s="262"/>
      <c r="DW98" s="262"/>
      <c r="DX98" s="262"/>
      <c r="DY98" s="262"/>
      <c r="DZ98" s="262"/>
      <c r="EA98" s="262"/>
      <c r="EB98" s="262"/>
      <c r="EC98" s="262"/>
      <c r="ED98" s="262"/>
      <c r="EE98" s="262"/>
      <c r="EF98" s="262"/>
      <c r="EG98" s="262"/>
      <c r="EH98" s="262"/>
      <c r="EI98" s="262"/>
      <c r="EJ98" s="262"/>
      <c r="EK98" s="262"/>
      <c r="EL98" s="262"/>
      <c r="EM98" s="262"/>
      <c r="EN98" s="262"/>
      <c r="EO98" s="262"/>
      <c r="EP98" s="262"/>
      <c r="EQ98" s="262"/>
      <c r="ER98" s="262"/>
      <c r="ES98" s="262"/>
      <c r="ET98" s="262"/>
      <c r="EU98" s="262"/>
      <c r="EV98" s="262"/>
      <c r="EW98" s="262"/>
      <c r="EX98" s="262"/>
      <c r="EY98" s="262"/>
      <c r="EZ98" s="262"/>
      <c r="FA98" s="262"/>
      <c r="FB98" s="262"/>
      <c r="FC98" s="262"/>
      <c r="FD98" s="262"/>
      <c r="FE98" s="262"/>
      <c r="FF98" s="262"/>
      <c r="FG98" s="262"/>
      <c r="FH98" s="262"/>
      <c r="FI98" s="262"/>
      <c r="FJ98" s="262"/>
      <c r="FK98" s="262"/>
      <c r="FL98" s="262"/>
      <c r="FM98" s="262"/>
      <c r="FN98" s="262"/>
      <c r="FO98" s="262"/>
      <c r="FP98" s="262"/>
      <c r="FQ98" s="262"/>
      <c r="FR98" s="262"/>
      <c r="FS98" s="262"/>
      <c r="FT98" s="262"/>
      <c r="FU98" s="262"/>
      <c r="FV98" s="262"/>
      <c r="FW98" s="262"/>
      <c r="FX98" s="262"/>
      <c r="FY98" s="262"/>
      <c r="FZ98" s="262"/>
      <c r="GA98" s="262"/>
      <c r="GB98" s="262"/>
      <c r="GC98" s="262"/>
      <c r="GD98" s="262"/>
      <c r="GE98" s="262"/>
      <c r="GF98" s="262"/>
      <c r="GG98" s="262"/>
      <c r="GH98" s="262"/>
      <c r="GI98" s="262"/>
      <c r="GJ98" s="262"/>
      <c r="GK98" s="262"/>
      <c r="GL98" s="262"/>
      <c r="GM98" s="262"/>
      <c r="GN98" s="262"/>
      <c r="GO98" s="262"/>
      <c r="GP98" s="262"/>
      <c r="GQ98" s="262"/>
      <c r="GR98" s="262"/>
      <c r="GS98" s="262"/>
      <c r="GT98" s="262"/>
      <c r="GU98" s="262"/>
      <c r="GV98" s="262"/>
      <c r="GW98" s="262"/>
      <c r="GX98" s="262"/>
      <c r="GY98" s="262"/>
      <c r="GZ98" s="262"/>
      <c r="HA98" s="262"/>
      <c r="HB98" s="262"/>
      <c r="HC98" s="262"/>
      <c r="HD98" s="262"/>
      <c r="HE98" s="262"/>
      <c r="HF98" s="262"/>
      <c r="HG98" s="262"/>
      <c r="HH98" s="262"/>
      <c r="HI98" s="262"/>
      <c r="HJ98" s="262"/>
      <c r="HK98" s="262"/>
      <c r="HL98" s="262"/>
      <c r="HM98" s="262"/>
      <c r="HN98" s="262"/>
      <c r="HO98" s="262"/>
      <c r="HP98" s="262"/>
      <c r="HQ98" s="262"/>
      <c r="HR98" s="262"/>
      <c r="HS98" s="262"/>
      <c r="HT98" s="262"/>
      <c r="HU98" s="262"/>
      <c r="HV98" s="262"/>
      <c r="HW98" s="262"/>
      <c r="HX98" s="262"/>
      <c r="HY98" s="262"/>
      <c r="HZ98" s="262"/>
      <c r="IA98" s="262"/>
      <c r="IB98" s="262"/>
      <c r="IC98" s="262"/>
      <c r="ID98" s="262"/>
      <c r="IE98" s="262"/>
      <c r="IF98" s="262"/>
      <c r="IG98" s="262"/>
      <c r="IH98" s="262"/>
      <c r="II98" s="262"/>
      <c r="IJ98" s="262"/>
      <c r="IK98" s="262"/>
      <c r="IL98" s="262"/>
      <c r="IM98" s="262"/>
      <c r="IN98" s="262"/>
      <c r="IO98" s="262"/>
      <c r="IP98" s="262"/>
      <c r="IQ98" s="262"/>
      <c r="IR98" s="262"/>
      <c r="IS98" s="262"/>
      <c r="IT98" s="262"/>
      <c r="IU98" s="262"/>
      <c r="IV98" s="262"/>
      <c r="IW98" s="262"/>
      <c r="IX98" s="262"/>
      <c r="IY98" s="262"/>
      <c r="IZ98" s="262"/>
      <c r="JA98" s="262"/>
      <c r="JB98" s="262"/>
      <c r="JC98" s="262"/>
      <c r="JD98" s="262"/>
      <c r="JE98" s="262"/>
      <c r="JF98" s="262"/>
      <c r="JG98" s="262"/>
      <c r="JH98" s="262"/>
      <c r="JI98" s="262"/>
      <c r="JJ98" s="262"/>
      <c r="JK98" s="262"/>
      <c r="JL98" s="262"/>
      <c r="JM98" s="262"/>
      <c r="JN98" s="262"/>
      <c r="JO98" s="262"/>
      <c r="JP98" s="262"/>
      <c r="JQ98" s="262"/>
      <c r="JR98" s="262"/>
      <c r="JS98" s="262"/>
      <c r="JT98" s="262"/>
      <c r="JU98" s="262"/>
      <c r="JV98" s="262"/>
      <c r="JW98" s="262"/>
      <c r="JX98" s="262"/>
      <c r="JY98" s="262"/>
      <c r="JZ98" s="262"/>
      <c r="KA98" s="262"/>
      <c r="KB98" s="262"/>
      <c r="KC98" s="262"/>
      <c r="KD98" s="262"/>
      <c r="KE98" s="262"/>
      <c r="KF98" s="262"/>
      <c r="KG98" s="262"/>
      <c r="KH98" s="262"/>
      <c r="KI98" s="262"/>
      <c r="KJ98" s="262"/>
      <c r="KK98" s="262"/>
      <c r="KL98" s="262"/>
      <c r="KM98" s="262"/>
      <c r="KN98" s="262"/>
      <c r="KO98" s="262"/>
      <c r="KP98" s="262"/>
      <c r="KQ98" s="262"/>
      <c r="KR98" s="262"/>
      <c r="KS98" s="262"/>
      <c r="KT98" s="262"/>
      <c r="KU98" s="262"/>
      <c r="KV98" s="262"/>
      <c r="KW98" s="262"/>
      <c r="KX98" s="262"/>
      <c r="KY98" s="262"/>
      <c r="KZ98" s="262"/>
    </row>
    <row r="99" spans="1:312" s="108" customFormat="1" ht="50" customHeight="1">
      <c r="A99" s="263" t="s">
        <v>105</v>
      </c>
      <c r="B99" s="264">
        <v>518505</v>
      </c>
      <c r="C99" s="86">
        <v>521</v>
      </c>
      <c r="D99" s="86">
        <v>878</v>
      </c>
      <c r="E99" s="60">
        <v>1599</v>
      </c>
      <c r="F99" s="86">
        <f t="shared" si="2"/>
        <v>0.59339407744874717</v>
      </c>
      <c r="G99" s="87">
        <v>3</v>
      </c>
      <c r="H99" s="87">
        <v>6</v>
      </c>
      <c r="I99" s="87"/>
      <c r="J99" s="87" t="s">
        <v>204</v>
      </c>
      <c r="K99" s="89" t="s">
        <v>714</v>
      </c>
      <c r="L99" s="90" t="s">
        <v>335</v>
      </c>
      <c r="M99" s="94"/>
      <c r="N99" s="91" t="s">
        <v>335</v>
      </c>
      <c r="O99" s="91" t="s">
        <v>335</v>
      </c>
      <c r="P99" s="92"/>
      <c r="Q99" s="95" t="s">
        <v>689</v>
      </c>
      <c r="R99" s="95"/>
      <c r="S99" s="60">
        <v>1599</v>
      </c>
      <c r="T99" s="263">
        <f t="shared" si="3"/>
        <v>4797</v>
      </c>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262"/>
      <c r="BT99" s="262"/>
      <c r="BU99" s="262"/>
      <c r="BV99" s="262"/>
      <c r="BW99" s="262"/>
      <c r="BX99" s="262"/>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2"/>
      <c r="CV99" s="262"/>
      <c r="CW99" s="262"/>
      <c r="CX99" s="262"/>
      <c r="CY99" s="262"/>
      <c r="CZ99" s="262"/>
      <c r="DA99" s="262"/>
      <c r="DB99" s="262"/>
      <c r="DC99" s="262"/>
      <c r="DD99" s="262"/>
      <c r="DE99" s="262"/>
      <c r="DF99" s="262"/>
      <c r="DG99" s="262"/>
      <c r="DH99" s="262"/>
      <c r="DI99" s="262"/>
      <c r="DJ99" s="262"/>
      <c r="DK99" s="262"/>
      <c r="DL99" s="262"/>
      <c r="DM99" s="262"/>
      <c r="DN99" s="262"/>
      <c r="DO99" s="262"/>
      <c r="DP99" s="262"/>
      <c r="DQ99" s="262"/>
      <c r="DR99" s="262"/>
      <c r="DS99" s="262"/>
      <c r="DT99" s="262"/>
      <c r="DU99" s="262"/>
      <c r="DV99" s="262"/>
      <c r="DW99" s="262"/>
      <c r="DX99" s="262"/>
      <c r="DY99" s="262"/>
      <c r="DZ99" s="262"/>
      <c r="EA99" s="262"/>
      <c r="EB99" s="262"/>
      <c r="EC99" s="262"/>
      <c r="ED99" s="262"/>
      <c r="EE99" s="262"/>
      <c r="EF99" s="262"/>
      <c r="EG99" s="262"/>
      <c r="EH99" s="262"/>
      <c r="EI99" s="262"/>
      <c r="EJ99" s="262"/>
      <c r="EK99" s="262"/>
      <c r="EL99" s="262"/>
      <c r="EM99" s="262"/>
      <c r="EN99" s="262"/>
      <c r="EO99" s="262"/>
      <c r="EP99" s="262"/>
      <c r="EQ99" s="262"/>
      <c r="ER99" s="262"/>
      <c r="ES99" s="262"/>
      <c r="ET99" s="262"/>
      <c r="EU99" s="262"/>
      <c r="EV99" s="262"/>
      <c r="EW99" s="262"/>
      <c r="EX99" s="262"/>
      <c r="EY99" s="262"/>
      <c r="EZ99" s="262"/>
      <c r="FA99" s="262"/>
      <c r="FB99" s="262"/>
      <c r="FC99" s="262"/>
      <c r="FD99" s="262"/>
      <c r="FE99" s="262"/>
      <c r="FF99" s="262"/>
      <c r="FG99" s="262"/>
      <c r="FH99" s="262"/>
      <c r="FI99" s="262"/>
      <c r="FJ99" s="262"/>
      <c r="FK99" s="262"/>
      <c r="FL99" s="262"/>
      <c r="FM99" s="262"/>
      <c r="FN99" s="262"/>
      <c r="FO99" s="262"/>
      <c r="FP99" s="262"/>
      <c r="FQ99" s="262"/>
      <c r="FR99" s="262"/>
      <c r="FS99" s="262"/>
      <c r="FT99" s="262"/>
      <c r="FU99" s="262"/>
      <c r="FV99" s="262"/>
      <c r="FW99" s="262"/>
      <c r="FX99" s="262"/>
      <c r="FY99" s="262"/>
      <c r="FZ99" s="262"/>
      <c r="GA99" s="262"/>
      <c r="GB99" s="262"/>
      <c r="GC99" s="262"/>
      <c r="GD99" s="262"/>
      <c r="GE99" s="262"/>
      <c r="GF99" s="262"/>
      <c r="GG99" s="262"/>
      <c r="GH99" s="262"/>
      <c r="GI99" s="262"/>
      <c r="GJ99" s="262"/>
      <c r="GK99" s="262"/>
      <c r="GL99" s="262"/>
      <c r="GM99" s="262"/>
      <c r="GN99" s="262"/>
      <c r="GO99" s="262"/>
      <c r="GP99" s="262"/>
      <c r="GQ99" s="262"/>
      <c r="GR99" s="262"/>
      <c r="GS99" s="262"/>
      <c r="GT99" s="262"/>
      <c r="GU99" s="262"/>
      <c r="GV99" s="262"/>
      <c r="GW99" s="262"/>
      <c r="GX99" s="262"/>
      <c r="GY99" s="262"/>
      <c r="GZ99" s="262"/>
      <c r="HA99" s="262"/>
      <c r="HB99" s="262"/>
      <c r="HC99" s="262"/>
      <c r="HD99" s="262"/>
      <c r="HE99" s="262"/>
      <c r="HF99" s="262"/>
      <c r="HG99" s="262"/>
      <c r="HH99" s="262"/>
      <c r="HI99" s="262"/>
      <c r="HJ99" s="262"/>
      <c r="HK99" s="262"/>
      <c r="HL99" s="262"/>
      <c r="HM99" s="262"/>
      <c r="HN99" s="262"/>
      <c r="HO99" s="262"/>
      <c r="HP99" s="262"/>
      <c r="HQ99" s="262"/>
      <c r="HR99" s="262"/>
      <c r="HS99" s="262"/>
      <c r="HT99" s="262"/>
      <c r="HU99" s="262"/>
      <c r="HV99" s="262"/>
      <c r="HW99" s="262"/>
      <c r="HX99" s="262"/>
      <c r="HY99" s="262"/>
      <c r="HZ99" s="262"/>
      <c r="IA99" s="262"/>
      <c r="IB99" s="262"/>
      <c r="IC99" s="262"/>
      <c r="ID99" s="262"/>
      <c r="IE99" s="262"/>
      <c r="IF99" s="262"/>
      <c r="IG99" s="262"/>
      <c r="IH99" s="262"/>
      <c r="II99" s="262"/>
      <c r="IJ99" s="262"/>
      <c r="IK99" s="262"/>
      <c r="IL99" s="262"/>
      <c r="IM99" s="262"/>
      <c r="IN99" s="262"/>
      <c r="IO99" s="262"/>
      <c r="IP99" s="262"/>
      <c r="IQ99" s="262"/>
      <c r="IR99" s="262"/>
      <c r="IS99" s="262"/>
      <c r="IT99" s="262"/>
      <c r="IU99" s="262"/>
      <c r="IV99" s="262"/>
      <c r="IW99" s="262"/>
      <c r="IX99" s="262"/>
      <c r="IY99" s="262"/>
      <c r="IZ99" s="262"/>
      <c r="JA99" s="262"/>
      <c r="JB99" s="262"/>
      <c r="JC99" s="262"/>
      <c r="JD99" s="262"/>
      <c r="JE99" s="262"/>
      <c r="JF99" s="262"/>
      <c r="JG99" s="262"/>
      <c r="JH99" s="262"/>
      <c r="JI99" s="262"/>
      <c r="JJ99" s="262"/>
      <c r="JK99" s="262"/>
      <c r="JL99" s="262"/>
      <c r="JM99" s="262"/>
      <c r="JN99" s="262"/>
      <c r="JO99" s="262"/>
      <c r="JP99" s="262"/>
      <c r="JQ99" s="262"/>
      <c r="JR99" s="262"/>
      <c r="JS99" s="262"/>
      <c r="JT99" s="262"/>
      <c r="JU99" s="262"/>
      <c r="JV99" s="262"/>
      <c r="JW99" s="262"/>
      <c r="JX99" s="262"/>
      <c r="JY99" s="262"/>
      <c r="JZ99" s="262"/>
      <c r="KA99" s="262"/>
      <c r="KB99" s="262"/>
      <c r="KC99" s="262"/>
      <c r="KD99" s="262"/>
      <c r="KE99" s="262"/>
      <c r="KF99" s="262"/>
      <c r="KG99" s="262"/>
      <c r="KH99" s="262"/>
      <c r="KI99" s="262"/>
      <c r="KJ99" s="262"/>
      <c r="KK99" s="262"/>
      <c r="KL99" s="262"/>
      <c r="KM99" s="262"/>
      <c r="KN99" s="262"/>
      <c r="KO99" s="262"/>
      <c r="KP99" s="262"/>
      <c r="KQ99" s="262"/>
      <c r="KR99" s="262"/>
      <c r="KS99" s="262"/>
      <c r="KT99" s="262"/>
      <c r="KU99" s="262"/>
      <c r="KV99" s="262"/>
      <c r="KW99" s="262"/>
      <c r="KX99" s="262"/>
      <c r="KY99" s="262"/>
      <c r="KZ99" s="262"/>
    </row>
    <row r="100" spans="1:312" s="108" customFormat="1" ht="50" customHeight="1">
      <c r="A100" s="263" t="s">
        <v>163</v>
      </c>
      <c r="B100" s="264"/>
      <c r="C100" s="86"/>
      <c r="D100" s="86"/>
      <c r="E100" s="60">
        <v>68</v>
      </c>
      <c r="F100" s="86" t="e">
        <f t="shared" si="2"/>
        <v>#DIV/0!</v>
      </c>
      <c r="G100" s="87">
        <v>3</v>
      </c>
      <c r="H100" s="87">
        <v>6</v>
      </c>
      <c r="I100" s="87"/>
      <c r="J100" s="87" t="s">
        <v>204</v>
      </c>
      <c r="K100" s="89" t="s">
        <v>715</v>
      </c>
      <c r="L100" s="94"/>
      <c r="M100" s="94"/>
      <c r="N100" s="91"/>
      <c r="O100" s="91" t="s">
        <v>335</v>
      </c>
      <c r="P100" s="92"/>
      <c r="Q100" s="95" t="s">
        <v>689</v>
      </c>
      <c r="R100" s="95" t="s">
        <v>689</v>
      </c>
      <c r="S100" s="60">
        <v>68</v>
      </c>
      <c r="T100" s="263">
        <f t="shared" si="3"/>
        <v>204</v>
      </c>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262"/>
      <c r="BT100" s="262"/>
      <c r="BU100" s="262"/>
      <c r="BV100" s="262"/>
      <c r="BW100" s="262"/>
      <c r="BX100" s="262"/>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2"/>
      <c r="CV100" s="262"/>
      <c r="CW100" s="262"/>
      <c r="CX100" s="262"/>
      <c r="CY100" s="262"/>
      <c r="CZ100" s="262"/>
      <c r="DA100" s="262"/>
      <c r="DB100" s="262"/>
      <c r="DC100" s="262"/>
      <c r="DD100" s="262"/>
      <c r="DE100" s="262"/>
      <c r="DF100" s="262"/>
      <c r="DG100" s="262"/>
      <c r="DH100" s="262"/>
      <c r="DI100" s="262"/>
      <c r="DJ100" s="262"/>
      <c r="DK100" s="262"/>
      <c r="DL100" s="262"/>
      <c r="DM100" s="262"/>
      <c r="DN100" s="262"/>
      <c r="DO100" s="262"/>
      <c r="DP100" s="262"/>
      <c r="DQ100" s="262"/>
      <c r="DR100" s="262"/>
      <c r="DS100" s="262"/>
      <c r="DT100" s="262"/>
      <c r="DU100" s="262"/>
      <c r="DV100" s="262"/>
      <c r="DW100" s="262"/>
      <c r="DX100" s="262"/>
      <c r="DY100" s="262"/>
      <c r="DZ100" s="262"/>
      <c r="EA100" s="262"/>
      <c r="EB100" s="262"/>
      <c r="EC100" s="262"/>
      <c r="ED100" s="262"/>
      <c r="EE100" s="262"/>
      <c r="EF100" s="262"/>
      <c r="EG100" s="262"/>
      <c r="EH100" s="262"/>
      <c r="EI100" s="262"/>
      <c r="EJ100" s="262"/>
      <c r="EK100" s="262"/>
      <c r="EL100" s="262"/>
      <c r="EM100" s="262"/>
      <c r="EN100" s="262"/>
      <c r="EO100" s="262"/>
      <c r="EP100" s="262"/>
      <c r="EQ100" s="262"/>
      <c r="ER100" s="262"/>
      <c r="ES100" s="262"/>
      <c r="ET100" s="262"/>
      <c r="EU100" s="262"/>
      <c r="EV100" s="262"/>
      <c r="EW100" s="262"/>
      <c r="EX100" s="262"/>
      <c r="EY100" s="262"/>
      <c r="EZ100" s="262"/>
      <c r="FA100" s="262"/>
      <c r="FB100" s="262"/>
      <c r="FC100" s="262"/>
      <c r="FD100" s="262"/>
      <c r="FE100" s="262"/>
      <c r="FF100" s="262"/>
      <c r="FG100" s="262"/>
      <c r="FH100" s="262"/>
      <c r="FI100" s="262"/>
      <c r="FJ100" s="262"/>
      <c r="FK100" s="262"/>
      <c r="FL100" s="262"/>
      <c r="FM100" s="262"/>
      <c r="FN100" s="262"/>
      <c r="FO100" s="262"/>
      <c r="FP100" s="262"/>
      <c r="FQ100" s="262"/>
      <c r="FR100" s="262"/>
      <c r="FS100" s="262"/>
      <c r="FT100" s="262"/>
      <c r="FU100" s="262"/>
      <c r="FV100" s="262"/>
      <c r="FW100" s="262"/>
      <c r="FX100" s="262"/>
      <c r="FY100" s="262"/>
      <c r="FZ100" s="262"/>
      <c r="GA100" s="262"/>
      <c r="GB100" s="262"/>
      <c r="GC100" s="262"/>
      <c r="GD100" s="262"/>
      <c r="GE100" s="262"/>
      <c r="GF100" s="262"/>
      <c r="GG100" s="262"/>
      <c r="GH100" s="262"/>
      <c r="GI100" s="262"/>
      <c r="GJ100" s="262"/>
      <c r="GK100" s="262"/>
      <c r="GL100" s="262"/>
      <c r="GM100" s="262"/>
      <c r="GN100" s="262"/>
      <c r="GO100" s="262"/>
      <c r="GP100" s="262"/>
      <c r="GQ100" s="262"/>
      <c r="GR100" s="262"/>
      <c r="GS100" s="262"/>
      <c r="GT100" s="262"/>
      <c r="GU100" s="262"/>
      <c r="GV100" s="262"/>
      <c r="GW100" s="262"/>
      <c r="GX100" s="262"/>
      <c r="GY100" s="262"/>
      <c r="GZ100" s="262"/>
      <c r="HA100" s="262"/>
      <c r="HB100" s="262"/>
      <c r="HC100" s="262"/>
      <c r="HD100" s="262"/>
      <c r="HE100" s="262"/>
      <c r="HF100" s="262"/>
      <c r="HG100" s="262"/>
      <c r="HH100" s="262"/>
      <c r="HI100" s="262"/>
      <c r="HJ100" s="262"/>
      <c r="HK100" s="262"/>
      <c r="HL100" s="262"/>
      <c r="HM100" s="262"/>
      <c r="HN100" s="262"/>
      <c r="HO100" s="262"/>
      <c r="HP100" s="262"/>
      <c r="HQ100" s="262"/>
      <c r="HR100" s="262"/>
      <c r="HS100" s="262"/>
      <c r="HT100" s="262"/>
      <c r="HU100" s="262"/>
      <c r="HV100" s="262"/>
      <c r="HW100" s="262"/>
      <c r="HX100" s="262"/>
      <c r="HY100" s="262"/>
      <c r="HZ100" s="262"/>
      <c r="IA100" s="262"/>
      <c r="IB100" s="262"/>
      <c r="IC100" s="262"/>
      <c r="ID100" s="262"/>
      <c r="IE100" s="262"/>
      <c r="IF100" s="262"/>
      <c r="IG100" s="262"/>
      <c r="IH100" s="262"/>
      <c r="II100" s="262"/>
      <c r="IJ100" s="262"/>
      <c r="IK100" s="262"/>
      <c r="IL100" s="262"/>
      <c r="IM100" s="262"/>
      <c r="IN100" s="262"/>
      <c r="IO100" s="262"/>
      <c r="IP100" s="262"/>
      <c r="IQ100" s="262"/>
      <c r="IR100" s="262"/>
      <c r="IS100" s="262"/>
      <c r="IT100" s="262"/>
      <c r="IU100" s="262"/>
      <c r="IV100" s="262"/>
      <c r="IW100" s="262"/>
      <c r="IX100" s="262"/>
      <c r="IY100" s="262"/>
      <c r="IZ100" s="262"/>
      <c r="JA100" s="262"/>
      <c r="JB100" s="262"/>
      <c r="JC100" s="262"/>
      <c r="JD100" s="262"/>
      <c r="JE100" s="262"/>
      <c r="JF100" s="262"/>
      <c r="JG100" s="262"/>
      <c r="JH100" s="262"/>
      <c r="JI100" s="262"/>
      <c r="JJ100" s="262"/>
      <c r="JK100" s="262"/>
      <c r="JL100" s="262"/>
      <c r="JM100" s="262"/>
      <c r="JN100" s="262"/>
      <c r="JO100" s="262"/>
      <c r="JP100" s="262"/>
      <c r="JQ100" s="262"/>
      <c r="JR100" s="262"/>
      <c r="JS100" s="262"/>
      <c r="JT100" s="262"/>
      <c r="JU100" s="262"/>
      <c r="JV100" s="262"/>
      <c r="JW100" s="262"/>
      <c r="JX100" s="262"/>
      <c r="JY100" s="262"/>
      <c r="JZ100" s="262"/>
      <c r="KA100" s="262"/>
      <c r="KB100" s="262"/>
      <c r="KC100" s="262"/>
      <c r="KD100" s="262"/>
      <c r="KE100" s="262"/>
      <c r="KF100" s="262"/>
      <c r="KG100" s="262"/>
      <c r="KH100" s="262"/>
      <c r="KI100" s="262"/>
      <c r="KJ100" s="262"/>
      <c r="KK100" s="262"/>
      <c r="KL100" s="262"/>
      <c r="KM100" s="262"/>
      <c r="KN100" s="262"/>
      <c r="KO100" s="262"/>
      <c r="KP100" s="262"/>
      <c r="KQ100" s="262"/>
      <c r="KR100" s="262"/>
      <c r="KS100" s="262"/>
      <c r="KT100" s="262"/>
      <c r="KU100" s="262"/>
      <c r="KV100" s="262"/>
      <c r="KW100" s="262"/>
      <c r="KX100" s="262"/>
      <c r="KY100" s="262"/>
      <c r="KZ100" s="262"/>
    </row>
    <row r="101" spans="1:312" s="85" customFormat="1" ht="50" customHeight="1">
      <c r="A101" s="272" t="s">
        <v>443</v>
      </c>
      <c r="B101" s="264"/>
      <c r="C101" s="86"/>
      <c r="D101" s="86"/>
      <c r="E101" s="60">
        <v>1715</v>
      </c>
      <c r="F101" s="86" t="e">
        <f t="shared" si="2"/>
        <v>#DIV/0!</v>
      </c>
      <c r="G101" s="87">
        <v>3</v>
      </c>
      <c r="H101" s="87">
        <v>6</v>
      </c>
      <c r="I101" s="87"/>
      <c r="J101" s="87" t="s">
        <v>204</v>
      </c>
      <c r="K101" s="89" t="s">
        <v>441</v>
      </c>
      <c r="L101" s="90" t="s">
        <v>689</v>
      </c>
      <c r="M101" s="90" t="s">
        <v>689</v>
      </c>
      <c r="N101" s="91" t="s">
        <v>335</v>
      </c>
      <c r="O101" s="91" t="s">
        <v>335</v>
      </c>
      <c r="P101" s="92"/>
      <c r="Q101" s="95" t="s">
        <v>689</v>
      </c>
      <c r="R101" s="95" t="s">
        <v>689</v>
      </c>
      <c r="S101" s="60">
        <v>1715</v>
      </c>
      <c r="T101" s="263">
        <f t="shared" si="3"/>
        <v>5145</v>
      </c>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262"/>
      <c r="BT101" s="262"/>
      <c r="BU101" s="262"/>
      <c r="BV101" s="262"/>
      <c r="BW101" s="262"/>
      <c r="BX101" s="262"/>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2"/>
      <c r="CV101" s="262"/>
      <c r="CW101" s="262"/>
      <c r="CX101" s="262"/>
      <c r="CY101" s="262"/>
      <c r="CZ101" s="262"/>
      <c r="DA101" s="262"/>
      <c r="DB101" s="262"/>
      <c r="DC101" s="262"/>
      <c r="DD101" s="262"/>
      <c r="DE101" s="262"/>
      <c r="DF101" s="262"/>
      <c r="DG101" s="262"/>
      <c r="DH101" s="262"/>
      <c r="DI101" s="262"/>
      <c r="DJ101" s="262"/>
      <c r="DK101" s="262"/>
      <c r="DL101" s="262"/>
      <c r="DM101" s="262"/>
      <c r="DN101" s="262"/>
      <c r="DO101" s="262"/>
      <c r="DP101" s="262"/>
      <c r="DQ101" s="262"/>
      <c r="DR101" s="262"/>
      <c r="DS101" s="262"/>
      <c r="DT101" s="262"/>
      <c r="DU101" s="262"/>
      <c r="DV101" s="262"/>
      <c r="DW101" s="262"/>
      <c r="DX101" s="262"/>
      <c r="DY101" s="262"/>
      <c r="DZ101" s="262"/>
      <c r="EA101" s="262"/>
      <c r="EB101" s="262"/>
      <c r="EC101" s="262"/>
      <c r="ED101" s="262"/>
      <c r="EE101" s="262"/>
      <c r="EF101" s="262"/>
      <c r="EG101" s="262"/>
      <c r="EH101" s="262"/>
      <c r="EI101" s="262"/>
      <c r="EJ101" s="262"/>
      <c r="EK101" s="262"/>
      <c r="EL101" s="262"/>
      <c r="EM101" s="262"/>
      <c r="EN101" s="262"/>
      <c r="EO101" s="262"/>
      <c r="EP101" s="262"/>
      <c r="EQ101" s="262"/>
      <c r="ER101" s="262"/>
      <c r="ES101" s="262"/>
      <c r="ET101" s="262"/>
      <c r="EU101" s="262"/>
      <c r="EV101" s="262"/>
      <c r="EW101" s="262"/>
      <c r="EX101" s="262"/>
      <c r="EY101" s="262"/>
      <c r="EZ101" s="262"/>
      <c r="FA101" s="262"/>
      <c r="FB101" s="262"/>
      <c r="FC101" s="262"/>
      <c r="FD101" s="262"/>
      <c r="FE101" s="262"/>
      <c r="FF101" s="262"/>
      <c r="FG101" s="262"/>
      <c r="FH101" s="262"/>
      <c r="FI101" s="262"/>
      <c r="FJ101" s="262"/>
      <c r="FK101" s="262"/>
      <c r="FL101" s="262"/>
      <c r="FM101" s="262"/>
      <c r="FN101" s="262"/>
      <c r="FO101" s="262"/>
      <c r="FP101" s="262"/>
      <c r="FQ101" s="262"/>
      <c r="FR101" s="262"/>
      <c r="FS101" s="262"/>
      <c r="FT101" s="262"/>
      <c r="FU101" s="262"/>
      <c r="FV101" s="262"/>
      <c r="FW101" s="262"/>
      <c r="FX101" s="262"/>
      <c r="FY101" s="262"/>
      <c r="FZ101" s="262"/>
      <c r="GA101" s="262"/>
      <c r="GB101" s="262"/>
      <c r="GC101" s="262"/>
      <c r="GD101" s="262"/>
      <c r="GE101" s="262"/>
      <c r="GF101" s="262"/>
      <c r="GG101" s="262"/>
      <c r="GH101" s="262"/>
      <c r="GI101" s="262"/>
      <c r="GJ101" s="262"/>
      <c r="GK101" s="262"/>
      <c r="GL101" s="262"/>
      <c r="GM101" s="262"/>
      <c r="GN101" s="262"/>
      <c r="GO101" s="262"/>
      <c r="GP101" s="262"/>
      <c r="GQ101" s="262"/>
      <c r="GR101" s="262"/>
      <c r="GS101" s="262"/>
      <c r="GT101" s="262"/>
      <c r="GU101" s="262"/>
      <c r="GV101" s="262"/>
      <c r="GW101" s="262"/>
      <c r="GX101" s="262"/>
      <c r="GY101" s="262"/>
      <c r="GZ101" s="262"/>
      <c r="HA101" s="262"/>
      <c r="HB101" s="262"/>
      <c r="HC101" s="262"/>
      <c r="HD101" s="262"/>
      <c r="HE101" s="262"/>
      <c r="HF101" s="262"/>
      <c r="HG101" s="262"/>
      <c r="HH101" s="262"/>
      <c r="HI101" s="262"/>
      <c r="HJ101" s="262"/>
      <c r="HK101" s="262"/>
      <c r="HL101" s="262"/>
      <c r="HM101" s="262"/>
      <c r="HN101" s="262"/>
      <c r="HO101" s="262"/>
      <c r="HP101" s="262"/>
      <c r="HQ101" s="262"/>
      <c r="HR101" s="262"/>
      <c r="HS101" s="262"/>
      <c r="HT101" s="262"/>
      <c r="HU101" s="262"/>
      <c r="HV101" s="262"/>
      <c r="HW101" s="262"/>
      <c r="HX101" s="262"/>
      <c r="HY101" s="262"/>
      <c r="HZ101" s="262"/>
      <c r="IA101" s="262"/>
      <c r="IB101" s="262"/>
      <c r="IC101" s="262"/>
      <c r="ID101" s="262"/>
      <c r="IE101" s="262"/>
      <c r="IF101" s="262"/>
      <c r="IG101" s="262"/>
      <c r="IH101" s="262"/>
      <c r="II101" s="262"/>
      <c r="IJ101" s="262"/>
      <c r="IK101" s="262"/>
      <c r="IL101" s="262"/>
      <c r="IM101" s="262"/>
      <c r="IN101" s="262"/>
      <c r="IO101" s="262"/>
      <c r="IP101" s="262"/>
      <c r="IQ101" s="262"/>
      <c r="IR101" s="262"/>
      <c r="IS101" s="262"/>
      <c r="IT101" s="262"/>
      <c r="IU101" s="262"/>
      <c r="IV101" s="262"/>
      <c r="IW101" s="262"/>
      <c r="IX101" s="262"/>
      <c r="IY101" s="262"/>
      <c r="IZ101" s="262"/>
      <c r="JA101" s="262"/>
      <c r="JB101" s="262"/>
      <c r="JC101" s="262"/>
      <c r="JD101" s="262"/>
      <c r="JE101" s="262"/>
      <c r="JF101" s="262"/>
      <c r="JG101" s="262"/>
      <c r="JH101" s="262"/>
      <c r="JI101" s="262"/>
      <c r="JJ101" s="262"/>
      <c r="JK101" s="262"/>
      <c r="JL101" s="262"/>
      <c r="JM101" s="262"/>
      <c r="JN101" s="262"/>
      <c r="JO101" s="262"/>
      <c r="JP101" s="262"/>
      <c r="JQ101" s="262"/>
      <c r="JR101" s="262"/>
      <c r="JS101" s="262"/>
      <c r="JT101" s="262"/>
      <c r="JU101" s="262"/>
      <c r="JV101" s="262"/>
      <c r="JW101" s="262"/>
      <c r="JX101" s="262"/>
      <c r="JY101" s="262"/>
      <c r="JZ101" s="262"/>
      <c r="KA101" s="262"/>
      <c r="KB101" s="262"/>
      <c r="KC101" s="262"/>
      <c r="KD101" s="262"/>
      <c r="KE101" s="262"/>
      <c r="KF101" s="262"/>
      <c r="KG101" s="262"/>
      <c r="KH101" s="262"/>
      <c r="KI101" s="262"/>
      <c r="KJ101" s="262"/>
      <c r="KK101" s="262"/>
      <c r="KL101" s="262"/>
      <c r="KM101" s="262"/>
      <c r="KN101" s="262"/>
      <c r="KO101" s="262"/>
      <c r="KP101" s="262"/>
      <c r="KQ101" s="262"/>
      <c r="KR101" s="262"/>
      <c r="KS101" s="262"/>
      <c r="KT101" s="262"/>
      <c r="KU101" s="262"/>
      <c r="KV101" s="262"/>
      <c r="KW101" s="262"/>
      <c r="KX101" s="262"/>
      <c r="KY101" s="262"/>
      <c r="KZ101" s="262"/>
    </row>
    <row r="102" spans="1:312" s="85" customFormat="1" ht="50" customHeight="1">
      <c r="A102" s="263" t="s">
        <v>365</v>
      </c>
      <c r="B102" s="264"/>
      <c r="C102" s="86"/>
      <c r="D102" s="86"/>
      <c r="E102" s="60">
        <v>1503</v>
      </c>
      <c r="F102" s="86" t="e">
        <f t="shared" si="2"/>
        <v>#DIV/0!</v>
      </c>
      <c r="G102" s="87">
        <v>3</v>
      </c>
      <c r="H102" s="87">
        <v>6</v>
      </c>
      <c r="I102" s="87"/>
      <c r="J102" s="87" t="s">
        <v>204</v>
      </c>
      <c r="K102" s="89" t="s">
        <v>366</v>
      </c>
      <c r="L102" s="90" t="s">
        <v>689</v>
      </c>
      <c r="M102" s="94"/>
      <c r="N102" s="91"/>
      <c r="O102" s="91" t="s">
        <v>335</v>
      </c>
      <c r="P102" s="92"/>
      <c r="Q102" s="95" t="s">
        <v>689</v>
      </c>
      <c r="R102" s="95"/>
      <c r="S102" s="60">
        <v>1503</v>
      </c>
      <c r="T102" s="263">
        <f t="shared" si="3"/>
        <v>4509</v>
      </c>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262"/>
      <c r="BT102" s="262"/>
      <c r="BU102" s="262"/>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c r="CY102" s="262"/>
      <c r="CZ102" s="262"/>
      <c r="DA102" s="262"/>
      <c r="DB102" s="262"/>
      <c r="DC102" s="262"/>
      <c r="DD102" s="262"/>
      <c r="DE102" s="262"/>
      <c r="DF102" s="262"/>
      <c r="DG102" s="262"/>
      <c r="DH102" s="262"/>
      <c r="DI102" s="262"/>
      <c r="DJ102" s="262"/>
      <c r="DK102" s="262"/>
      <c r="DL102" s="262"/>
      <c r="DM102" s="262"/>
      <c r="DN102" s="262"/>
      <c r="DO102" s="262"/>
      <c r="DP102" s="262"/>
      <c r="DQ102" s="262"/>
      <c r="DR102" s="262"/>
      <c r="DS102" s="262"/>
      <c r="DT102" s="262"/>
      <c r="DU102" s="262"/>
      <c r="DV102" s="262"/>
      <c r="DW102" s="262"/>
      <c r="DX102" s="262"/>
      <c r="DY102" s="262"/>
      <c r="DZ102" s="262"/>
      <c r="EA102" s="262"/>
      <c r="EB102" s="262"/>
      <c r="EC102" s="262"/>
      <c r="ED102" s="262"/>
      <c r="EE102" s="262"/>
      <c r="EF102" s="262"/>
      <c r="EG102" s="262"/>
      <c r="EH102" s="262"/>
      <c r="EI102" s="262"/>
      <c r="EJ102" s="262"/>
      <c r="EK102" s="262"/>
      <c r="EL102" s="262"/>
      <c r="EM102" s="262"/>
      <c r="EN102" s="262"/>
      <c r="EO102" s="262"/>
      <c r="EP102" s="262"/>
      <c r="EQ102" s="262"/>
      <c r="ER102" s="262"/>
      <c r="ES102" s="262"/>
      <c r="ET102" s="262"/>
      <c r="EU102" s="262"/>
      <c r="EV102" s="262"/>
      <c r="EW102" s="262"/>
      <c r="EX102" s="262"/>
      <c r="EY102" s="262"/>
      <c r="EZ102" s="262"/>
      <c r="FA102" s="262"/>
      <c r="FB102" s="262"/>
      <c r="FC102" s="262"/>
      <c r="FD102" s="262"/>
      <c r="FE102" s="262"/>
      <c r="FF102" s="262"/>
      <c r="FG102" s="262"/>
      <c r="FH102" s="262"/>
      <c r="FI102" s="262"/>
      <c r="FJ102" s="262"/>
      <c r="FK102" s="262"/>
      <c r="FL102" s="262"/>
      <c r="FM102" s="262"/>
      <c r="FN102" s="262"/>
      <c r="FO102" s="262"/>
      <c r="FP102" s="262"/>
      <c r="FQ102" s="262"/>
      <c r="FR102" s="262"/>
      <c r="FS102" s="262"/>
      <c r="FT102" s="262"/>
      <c r="FU102" s="262"/>
      <c r="FV102" s="262"/>
      <c r="FW102" s="262"/>
      <c r="FX102" s="262"/>
      <c r="FY102" s="262"/>
      <c r="FZ102" s="262"/>
      <c r="GA102" s="262"/>
      <c r="GB102" s="262"/>
      <c r="GC102" s="262"/>
      <c r="GD102" s="262"/>
      <c r="GE102" s="262"/>
      <c r="GF102" s="262"/>
      <c r="GG102" s="262"/>
      <c r="GH102" s="262"/>
      <c r="GI102" s="262"/>
      <c r="GJ102" s="262"/>
      <c r="GK102" s="262"/>
      <c r="GL102" s="262"/>
      <c r="GM102" s="262"/>
      <c r="GN102" s="262"/>
      <c r="GO102" s="262"/>
      <c r="GP102" s="262"/>
      <c r="GQ102" s="262"/>
      <c r="GR102" s="262"/>
      <c r="GS102" s="262"/>
      <c r="GT102" s="262"/>
      <c r="GU102" s="262"/>
      <c r="GV102" s="262"/>
      <c r="GW102" s="262"/>
      <c r="GX102" s="262"/>
      <c r="GY102" s="262"/>
      <c r="GZ102" s="262"/>
      <c r="HA102" s="262"/>
      <c r="HB102" s="262"/>
      <c r="HC102" s="262"/>
      <c r="HD102" s="262"/>
      <c r="HE102" s="262"/>
      <c r="HF102" s="262"/>
      <c r="HG102" s="262"/>
      <c r="HH102" s="262"/>
      <c r="HI102" s="262"/>
      <c r="HJ102" s="262"/>
      <c r="HK102" s="262"/>
      <c r="HL102" s="262"/>
      <c r="HM102" s="262"/>
      <c r="HN102" s="262"/>
      <c r="HO102" s="262"/>
      <c r="HP102" s="262"/>
      <c r="HQ102" s="262"/>
      <c r="HR102" s="262"/>
      <c r="HS102" s="262"/>
      <c r="HT102" s="262"/>
      <c r="HU102" s="262"/>
      <c r="HV102" s="262"/>
      <c r="HW102" s="262"/>
      <c r="HX102" s="262"/>
      <c r="HY102" s="262"/>
      <c r="HZ102" s="262"/>
      <c r="IA102" s="262"/>
      <c r="IB102" s="262"/>
      <c r="IC102" s="262"/>
      <c r="ID102" s="262"/>
      <c r="IE102" s="262"/>
      <c r="IF102" s="262"/>
      <c r="IG102" s="262"/>
      <c r="IH102" s="262"/>
      <c r="II102" s="262"/>
      <c r="IJ102" s="262"/>
      <c r="IK102" s="262"/>
      <c r="IL102" s="262"/>
      <c r="IM102" s="262"/>
      <c r="IN102" s="262"/>
      <c r="IO102" s="262"/>
      <c r="IP102" s="262"/>
      <c r="IQ102" s="262"/>
      <c r="IR102" s="262"/>
      <c r="IS102" s="262"/>
      <c r="IT102" s="262"/>
      <c r="IU102" s="262"/>
      <c r="IV102" s="262"/>
      <c r="IW102" s="262"/>
      <c r="IX102" s="262"/>
      <c r="IY102" s="262"/>
      <c r="IZ102" s="262"/>
      <c r="JA102" s="262"/>
      <c r="JB102" s="262"/>
      <c r="JC102" s="262"/>
      <c r="JD102" s="262"/>
      <c r="JE102" s="262"/>
      <c r="JF102" s="262"/>
      <c r="JG102" s="262"/>
      <c r="JH102" s="262"/>
      <c r="JI102" s="262"/>
      <c r="JJ102" s="262"/>
      <c r="JK102" s="262"/>
      <c r="JL102" s="262"/>
      <c r="JM102" s="262"/>
      <c r="JN102" s="262"/>
      <c r="JO102" s="262"/>
      <c r="JP102" s="262"/>
      <c r="JQ102" s="262"/>
      <c r="JR102" s="262"/>
      <c r="JS102" s="262"/>
      <c r="JT102" s="262"/>
      <c r="JU102" s="262"/>
      <c r="JV102" s="262"/>
      <c r="JW102" s="262"/>
      <c r="JX102" s="262"/>
      <c r="JY102" s="262"/>
      <c r="JZ102" s="262"/>
      <c r="KA102" s="262"/>
      <c r="KB102" s="262"/>
      <c r="KC102" s="262"/>
      <c r="KD102" s="262"/>
      <c r="KE102" s="262"/>
      <c r="KF102" s="262"/>
      <c r="KG102" s="262"/>
      <c r="KH102" s="262"/>
      <c r="KI102" s="262"/>
      <c r="KJ102" s="262"/>
      <c r="KK102" s="262"/>
      <c r="KL102" s="262"/>
      <c r="KM102" s="262"/>
      <c r="KN102" s="262"/>
      <c r="KO102" s="262"/>
      <c r="KP102" s="262"/>
      <c r="KQ102" s="262"/>
      <c r="KR102" s="262"/>
      <c r="KS102" s="262"/>
      <c r="KT102" s="262"/>
      <c r="KU102" s="262"/>
      <c r="KV102" s="262"/>
      <c r="KW102" s="262"/>
      <c r="KX102" s="262"/>
      <c r="KY102" s="262"/>
      <c r="KZ102" s="262"/>
    </row>
    <row r="103" spans="1:312" s="85" customFormat="1" ht="50" customHeight="1">
      <c r="A103" s="263" t="s">
        <v>129</v>
      </c>
      <c r="B103" s="264"/>
      <c r="C103" s="86"/>
      <c r="D103" s="86"/>
      <c r="E103" s="60">
        <v>184</v>
      </c>
      <c r="F103" s="86" t="e">
        <f t="shared" si="2"/>
        <v>#DIV/0!</v>
      </c>
      <c r="G103" s="87">
        <v>3</v>
      </c>
      <c r="H103" s="87">
        <v>6</v>
      </c>
      <c r="I103" s="87"/>
      <c r="J103" s="87" t="s">
        <v>204</v>
      </c>
      <c r="K103" s="89" t="s">
        <v>716</v>
      </c>
      <c r="L103" s="94"/>
      <c r="M103" s="90" t="s">
        <v>689</v>
      </c>
      <c r="N103" s="91"/>
      <c r="O103" s="91" t="s">
        <v>335</v>
      </c>
      <c r="P103" s="92"/>
      <c r="Q103" s="95" t="s">
        <v>689</v>
      </c>
      <c r="R103" s="95" t="s">
        <v>689</v>
      </c>
      <c r="S103" s="60">
        <v>184</v>
      </c>
      <c r="T103" s="263">
        <f t="shared" si="3"/>
        <v>552</v>
      </c>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262"/>
      <c r="BT103" s="262"/>
      <c r="BU103" s="262"/>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c r="CY103" s="262"/>
      <c r="CZ103" s="262"/>
      <c r="DA103" s="262"/>
      <c r="DB103" s="262"/>
      <c r="DC103" s="262"/>
      <c r="DD103" s="262"/>
      <c r="DE103" s="262"/>
      <c r="DF103" s="262"/>
      <c r="DG103" s="262"/>
      <c r="DH103" s="262"/>
      <c r="DI103" s="262"/>
      <c r="DJ103" s="262"/>
      <c r="DK103" s="262"/>
      <c r="DL103" s="262"/>
      <c r="DM103" s="262"/>
      <c r="DN103" s="262"/>
      <c r="DO103" s="262"/>
      <c r="DP103" s="262"/>
      <c r="DQ103" s="262"/>
      <c r="DR103" s="262"/>
      <c r="DS103" s="262"/>
      <c r="DT103" s="262"/>
      <c r="DU103" s="262"/>
      <c r="DV103" s="262"/>
      <c r="DW103" s="262"/>
      <c r="DX103" s="262"/>
      <c r="DY103" s="262"/>
      <c r="DZ103" s="262"/>
      <c r="EA103" s="262"/>
      <c r="EB103" s="262"/>
      <c r="EC103" s="262"/>
      <c r="ED103" s="262"/>
      <c r="EE103" s="262"/>
      <c r="EF103" s="262"/>
      <c r="EG103" s="262"/>
      <c r="EH103" s="262"/>
      <c r="EI103" s="262"/>
      <c r="EJ103" s="262"/>
      <c r="EK103" s="262"/>
      <c r="EL103" s="262"/>
      <c r="EM103" s="262"/>
      <c r="EN103" s="262"/>
      <c r="EO103" s="262"/>
      <c r="EP103" s="262"/>
      <c r="EQ103" s="262"/>
      <c r="ER103" s="262"/>
      <c r="ES103" s="262"/>
      <c r="ET103" s="262"/>
      <c r="EU103" s="262"/>
      <c r="EV103" s="262"/>
      <c r="EW103" s="262"/>
      <c r="EX103" s="262"/>
      <c r="EY103" s="262"/>
      <c r="EZ103" s="262"/>
      <c r="FA103" s="262"/>
      <c r="FB103" s="262"/>
      <c r="FC103" s="262"/>
      <c r="FD103" s="262"/>
      <c r="FE103" s="262"/>
      <c r="FF103" s="262"/>
      <c r="FG103" s="262"/>
      <c r="FH103" s="262"/>
      <c r="FI103" s="262"/>
      <c r="FJ103" s="262"/>
      <c r="FK103" s="262"/>
      <c r="FL103" s="262"/>
      <c r="FM103" s="262"/>
      <c r="FN103" s="262"/>
      <c r="FO103" s="262"/>
      <c r="FP103" s="262"/>
      <c r="FQ103" s="262"/>
      <c r="FR103" s="262"/>
      <c r="FS103" s="262"/>
      <c r="FT103" s="262"/>
      <c r="FU103" s="262"/>
      <c r="FV103" s="262"/>
      <c r="FW103" s="262"/>
      <c r="FX103" s="262"/>
      <c r="FY103" s="262"/>
      <c r="FZ103" s="262"/>
      <c r="GA103" s="262"/>
      <c r="GB103" s="262"/>
      <c r="GC103" s="262"/>
      <c r="GD103" s="262"/>
      <c r="GE103" s="262"/>
      <c r="GF103" s="262"/>
      <c r="GG103" s="262"/>
      <c r="GH103" s="262"/>
      <c r="GI103" s="262"/>
      <c r="GJ103" s="262"/>
      <c r="GK103" s="262"/>
      <c r="GL103" s="262"/>
      <c r="GM103" s="262"/>
      <c r="GN103" s="262"/>
      <c r="GO103" s="262"/>
      <c r="GP103" s="262"/>
      <c r="GQ103" s="262"/>
      <c r="GR103" s="262"/>
      <c r="GS103" s="262"/>
      <c r="GT103" s="262"/>
      <c r="GU103" s="262"/>
      <c r="GV103" s="262"/>
      <c r="GW103" s="262"/>
      <c r="GX103" s="262"/>
      <c r="GY103" s="262"/>
      <c r="GZ103" s="262"/>
      <c r="HA103" s="262"/>
      <c r="HB103" s="262"/>
      <c r="HC103" s="262"/>
      <c r="HD103" s="262"/>
      <c r="HE103" s="262"/>
      <c r="HF103" s="262"/>
      <c r="HG103" s="262"/>
      <c r="HH103" s="262"/>
      <c r="HI103" s="262"/>
      <c r="HJ103" s="262"/>
      <c r="HK103" s="262"/>
      <c r="HL103" s="262"/>
      <c r="HM103" s="262"/>
      <c r="HN103" s="262"/>
      <c r="HO103" s="262"/>
      <c r="HP103" s="262"/>
      <c r="HQ103" s="262"/>
      <c r="HR103" s="262"/>
      <c r="HS103" s="262"/>
      <c r="HT103" s="262"/>
      <c r="HU103" s="262"/>
      <c r="HV103" s="262"/>
      <c r="HW103" s="262"/>
      <c r="HX103" s="262"/>
      <c r="HY103" s="262"/>
      <c r="HZ103" s="262"/>
      <c r="IA103" s="262"/>
      <c r="IB103" s="262"/>
      <c r="IC103" s="262"/>
      <c r="ID103" s="262"/>
      <c r="IE103" s="262"/>
      <c r="IF103" s="262"/>
      <c r="IG103" s="262"/>
      <c r="IH103" s="262"/>
      <c r="II103" s="262"/>
      <c r="IJ103" s="262"/>
      <c r="IK103" s="262"/>
      <c r="IL103" s="262"/>
      <c r="IM103" s="262"/>
      <c r="IN103" s="262"/>
      <c r="IO103" s="262"/>
      <c r="IP103" s="262"/>
      <c r="IQ103" s="262"/>
      <c r="IR103" s="262"/>
      <c r="IS103" s="262"/>
      <c r="IT103" s="262"/>
      <c r="IU103" s="262"/>
      <c r="IV103" s="262"/>
      <c r="IW103" s="262"/>
      <c r="IX103" s="262"/>
      <c r="IY103" s="262"/>
      <c r="IZ103" s="262"/>
      <c r="JA103" s="262"/>
      <c r="JB103" s="262"/>
      <c r="JC103" s="262"/>
      <c r="JD103" s="262"/>
      <c r="JE103" s="262"/>
      <c r="JF103" s="262"/>
      <c r="JG103" s="262"/>
      <c r="JH103" s="262"/>
      <c r="JI103" s="262"/>
      <c r="JJ103" s="262"/>
      <c r="JK103" s="262"/>
      <c r="JL103" s="262"/>
      <c r="JM103" s="262"/>
      <c r="JN103" s="262"/>
      <c r="JO103" s="262"/>
      <c r="JP103" s="262"/>
      <c r="JQ103" s="262"/>
      <c r="JR103" s="262"/>
      <c r="JS103" s="262"/>
      <c r="JT103" s="262"/>
      <c r="JU103" s="262"/>
      <c r="JV103" s="262"/>
      <c r="JW103" s="262"/>
      <c r="JX103" s="262"/>
      <c r="JY103" s="262"/>
      <c r="JZ103" s="262"/>
      <c r="KA103" s="262"/>
      <c r="KB103" s="262"/>
      <c r="KC103" s="262"/>
      <c r="KD103" s="262"/>
      <c r="KE103" s="262"/>
      <c r="KF103" s="262"/>
      <c r="KG103" s="262"/>
      <c r="KH103" s="262"/>
      <c r="KI103" s="262"/>
      <c r="KJ103" s="262"/>
      <c r="KK103" s="262"/>
      <c r="KL103" s="262"/>
      <c r="KM103" s="262"/>
      <c r="KN103" s="262"/>
      <c r="KO103" s="262"/>
      <c r="KP103" s="262"/>
      <c r="KQ103" s="262"/>
      <c r="KR103" s="262"/>
      <c r="KS103" s="262"/>
      <c r="KT103" s="262"/>
      <c r="KU103" s="262"/>
      <c r="KV103" s="262"/>
      <c r="KW103" s="262"/>
      <c r="KX103" s="262"/>
      <c r="KY103" s="262"/>
      <c r="KZ103" s="262"/>
    </row>
    <row r="104" spans="1:312" s="85" customFormat="1" ht="50" customHeight="1">
      <c r="A104" s="263" t="s">
        <v>133</v>
      </c>
      <c r="B104" s="264"/>
      <c r="C104" s="86"/>
      <c r="D104" s="86"/>
      <c r="E104" s="60">
        <v>68</v>
      </c>
      <c r="F104" s="86" t="e">
        <f t="shared" si="2"/>
        <v>#DIV/0!</v>
      </c>
      <c r="G104" s="87">
        <v>3</v>
      </c>
      <c r="H104" s="87">
        <v>6</v>
      </c>
      <c r="I104" s="87"/>
      <c r="J104" s="87" t="s">
        <v>204</v>
      </c>
      <c r="K104" s="89" t="s">
        <v>347</v>
      </c>
      <c r="L104" s="94"/>
      <c r="M104" s="94"/>
      <c r="N104" s="91"/>
      <c r="O104" s="91" t="s">
        <v>335</v>
      </c>
      <c r="P104" s="92"/>
      <c r="Q104" s="95" t="s">
        <v>689</v>
      </c>
      <c r="R104" s="95"/>
      <c r="S104" s="60">
        <v>68</v>
      </c>
      <c r="T104" s="263">
        <f t="shared" si="3"/>
        <v>204</v>
      </c>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c r="DM104" s="262"/>
      <c r="DN104" s="262"/>
      <c r="DO104" s="262"/>
      <c r="DP104" s="262"/>
      <c r="DQ104" s="262"/>
      <c r="DR104" s="262"/>
      <c r="DS104" s="262"/>
      <c r="DT104" s="262"/>
      <c r="DU104" s="262"/>
      <c r="DV104" s="262"/>
      <c r="DW104" s="262"/>
      <c r="DX104" s="262"/>
      <c r="DY104" s="262"/>
      <c r="DZ104" s="262"/>
      <c r="EA104" s="262"/>
      <c r="EB104" s="262"/>
      <c r="EC104" s="262"/>
      <c r="ED104" s="262"/>
      <c r="EE104" s="262"/>
      <c r="EF104" s="262"/>
      <c r="EG104" s="262"/>
      <c r="EH104" s="262"/>
      <c r="EI104" s="262"/>
      <c r="EJ104" s="262"/>
      <c r="EK104" s="262"/>
      <c r="EL104" s="262"/>
      <c r="EM104" s="262"/>
      <c r="EN104" s="262"/>
      <c r="EO104" s="262"/>
      <c r="EP104" s="262"/>
      <c r="EQ104" s="262"/>
      <c r="ER104" s="262"/>
      <c r="ES104" s="262"/>
      <c r="ET104" s="262"/>
      <c r="EU104" s="262"/>
      <c r="EV104" s="262"/>
      <c r="EW104" s="262"/>
      <c r="EX104" s="262"/>
      <c r="EY104" s="262"/>
      <c r="EZ104" s="262"/>
      <c r="FA104" s="262"/>
      <c r="FB104" s="262"/>
      <c r="FC104" s="262"/>
      <c r="FD104" s="262"/>
      <c r="FE104" s="262"/>
      <c r="FF104" s="262"/>
      <c r="FG104" s="262"/>
      <c r="FH104" s="262"/>
      <c r="FI104" s="262"/>
      <c r="FJ104" s="262"/>
      <c r="FK104" s="262"/>
      <c r="FL104" s="262"/>
      <c r="FM104" s="262"/>
      <c r="FN104" s="262"/>
      <c r="FO104" s="262"/>
      <c r="FP104" s="262"/>
      <c r="FQ104" s="262"/>
      <c r="FR104" s="262"/>
      <c r="FS104" s="262"/>
      <c r="FT104" s="262"/>
      <c r="FU104" s="262"/>
      <c r="FV104" s="262"/>
      <c r="FW104" s="262"/>
      <c r="FX104" s="262"/>
      <c r="FY104" s="262"/>
      <c r="FZ104" s="262"/>
      <c r="GA104" s="262"/>
      <c r="GB104" s="262"/>
      <c r="GC104" s="262"/>
      <c r="GD104" s="262"/>
      <c r="GE104" s="262"/>
      <c r="GF104" s="262"/>
      <c r="GG104" s="262"/>
      <c r="GH104" s="262"/>
      <c r="GI104" s="262"/>
      <c r="GJ104" s="262"/>
      <c r="GK104" s="262"/>
      <c r="GL104" s="262"/>
      <c r="GM104" s="262"/>
      <c r="GN104" s="262"/>
      <c r="GO104" s="262"/>
      <c r="GP104" s="262"/>
      <c r="GQ104" s="262"/>
      <c r="GR104" s="262"/>
      <c r="GS104" s="262"/>
      <c r="GT104" s="262"/>
      <c r="GU104" s="262"/>
      <c r="GV104" s="262"/>
      <c r="GW104" s="262"/>
      <c r="GX104" s="262"/>
      <c r="GY104" s="262"/>
      <c r="GZ104" s="262"/>
      <c r="HA104" s="262"/>
      <c r="HB104" s="262"/>
      <c r="HC104" s="262"/>
      <c r="HD104" s="262"/>
      <c r="HE104" s="262"/>
      <c r="HF104" s="262"/>
      <c r="HG104" s="262"/>
      <c r="HH104" s="262"/>
      <c r="HI104" s="262"/>
      <c r="HJ104" s="262"/>
      <c r="HK104" s="262"/>
      <c r="HL104" s="262"/>
      <c r="HM104" s="262"/>
      <c r="HN104" s="262"/>
      <c r="HO104" s="262"/>
      <c r="HP104" s="262"/>
      <c r="HQ104" s="262"/>
      <c r="HR104" s="262"/>
      <c r="HS104" s="262"/>
      <c r="HT104" s="262"/>
      <c r="HU104" s="262"/>
      <c r="HV104" s="262"/>
      <c r="HW104" s="262"/>
      <c r="HX104" s="262"/>
      <c r="HY104" s="262"/>
      <c r="HZ104" s="262"/>
      <c r="IA104" s="262"/>
      <c r="IB104" s="262"/>
      <c r="IC104" s="262"/>
      <c r="ID104" s="262"/>
      <c r="IE104" s="262"/>
      <c r="IF104" s="262"/>
      <c r="IG104" s="262"/>
      <c r="IH104" s="262"/>
      <c r="II104" s="262"/>
      <c r="IJ104" s="262"/>
      <c r="IK104" s="262"/>
      <c r="IL104" s="262"/>
      <c r="IM104" s="262"/>
      <c r="IN104" s="262"/>
      <c r="IO104" s="262"/>
      <c r="IP104" s="262"/>
      <c r="IQ104" s="262"/>
      <c r="IR104" s="262"/>
      <c r="IS104" s="262"/>
      <c r="IT104" s="262"/>
      <c r="IU104" s="262"/>
      <c r="IV104" s="262"/>
      <c r="IW104" s="262"/>
      <c r="IX104" s="262"/>
      <c r="IY104" s="262"/>
      <c r="IZ104" s="262"/>
      <c r="JA104" s="262"/>
      <c r="JB104" s="262"/>
      <c r="JC104" s="262"/>
      <c r="JD104" s="262"/>
      <c r="JE104" s="262"/>
      <c r="JF104" s="262"/>
      <c r="JG104" s="262"/>
      <c r="JH104" s="262"/>
      <c r="JI104" s="262"/>
      <c r="JJ104" s="262"/>
      <c r="JK104" s="262"/>
      <c r="JL104" s="262"/>
      <c r="JM104" s="262"/>
      <c r="JN104" s="262"/>
      <c r="JO104" s="262"/>
      <c r="JP104" s="262"/>
      <c r="JQ104" s="262"/>
      <c r="JR104" s="262"/>
      <c r="JS104" s="262"/>
      <c r="JT104" s="262"/>
      <c r="JU104" s="262"/>
      <c r="JV104" s="262"/>
      <c r="JW104" s="262"/>
      <c r="JX104" s="262"/>
      <c r="JY104" s="262"/>
      <c r="JZ104" s="262"/>
      <c r="KA104" s="262"/>
      <c r="KB104" s="262"/>
      <c r="KC104" s="262"/>
      <c r="KD104" s="262"/>
      <c r="KE104" s="262"/>
      <c r="KF104" s="262"/>
      <c r="KG104" s="262"/>
      <c r="KH104" s="262"/>
      <c r="KI104" s="262"/>
      <c r="KJ104" s="262"/>
      <c r="KK104" s="262"/>
      <c r="KL104" s="262"/>
      <c r="KM104" s="262"/>
      <c r="KN104" s="262"/>
      <c r="KO104" s="262"/>
      <c r="KP104" s="262"/>
      <c r="KQ104" s="262"/>
      <c r="KR104" s="262"/>
      <c r="KS104" s="262"/>
      <c r="KT104" s="262"/>
      <c r="KU104" s="262"/>
      <c r="KV104" s="262"/>
      <c r="KW104" s="262"/>
      <c r="KX104" s="262"/>
      <c r="KY104" s="262"/>
      <c r="KZ104" s="262"/>
    </row>
    <row r="105" spans="1:312" s="85" customFormat="1" ht="50" customHeight="1">
      <c r="A105" s="263" t="s">
        <v>451</v>
      </c>
      <c r="B105" s="264"/>
      <c r="C105" s="86"/>
      <c r="D105" s="86"/>
      <c r="E105" s="60">
        <v>68</v>
      </c>
      <c r="F105" s="86" t="e">
        <f t="shared" si="2"/>
        <v>#DIV/0!</v>
      </c>
      <c r="G105" s="87">
        <v>3</v>
      </c>
      <c r="H105" s="87">
        <v>6</v>
      </c>
      <c r="I105" s="87"/>
      <c r="J105" s="264" t="s">
        <v>217</v>
      </c>
      <c r="K105" s="265" t="s">
        <v>452</v>
      </c>
      <c r="L105" s="98"/>
      <c r="M105" s="98"/>
      <c r="N105" s="99"/>
      <c r="O105" s="99" t="s">
        <v>335</v>
      </c>
      <c r="P105" s="266"/>
      <c r="Q105" s="93" t="s">
        <v>689</v>
      </c>
      <c r="R105" s="93"/>
      <c r="S105" s="60">
        <v>68</v>
      </c>
      <c r="T105" s="263">
        <f t="shared" si="3"/>
        <v>204</v>
      </c>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262"/>
      <c r="BT105" s="262"/>
      <c r="BU105" s="262"/>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c r="CY105" s="262"/>
      <c r="CZ105" s="262"/>
      <c r="DA105" s="262"/>
      <c r="DB105" s="262"/>
      <c r="DC105" s="262"/>
      <c r="DD105" s="262"/>
      <c r="DE105" s="262"/>
      <c r="DF105" s="262"/>
      <c r="DG105" s="262"/>
      <c r="DH105" s="262"/>
      <c r="DI105" s="262"/>
      <c r="DJ105" s="262"/>
      <c r="DK105" s="262"/>
      <c r="DL105" s="262"/>
      <c r="DM105" s="262"/>
      <c r="DN105" s="262"/>
      <c r="DO105" s="262"/>
      <c r="DP105" s="262"/>
      <c r="DQ105" s="262"/>
      <c r="DR105" s="262"/>
      <c r="DS105" s="262"/>
      <c r="DT105" s="262"/>
      <c r="DU105" s="262"/>
      <c r="DV105" s="262"/>
      <c r="DW105" s="262"/>
      <c r="DX105" s="262"/>
      <c r="DY105" s="262"/>
      <c r="DZ105" s="262"/>
      <c r="EA105" s="262"/>
      <c r="EB105" s="262"/>
      <c r="EC105" s="262"/>
      <c r="ED105" s="262"/>
      <c r="EE105" s="262"/>
      <c r="EF105" s="262"/>
      <c r="EG105" s="262"/>
      <c r="EH105" s="262"/>
      <c r="EI105" s="262"/>
      <c r="EJ105" s="262"/>
      <c r="EK105" s="262"/>
      <c r="EL105" s="262"/>
      <c r="EM105" s="262"/>
      <c r="EN105" s="262"/>
      <c r="EO105" s="262"/>
      <c r="EP105" s="262"/>
      <c r="EQ105" s="262"/>
      <c r="ER105" s="262"/>
      <c r="ES105" s="262"/>
      <c r="ET105" s="262"/>
      <c r="EU105" s="262"/>
      <c r="EV105" s="262"/>
      <c r="EW105" s="262"/>
      <c r="EX105" s="262"/>
      <c r="EY105" s="262"/>
      <c r="EZ105" s="262"/>
      <c r="FA105" s="262"/>
      <c r="FB105" s="262"/>
      <c r="FC105" s="262"/>
      <c r="FD105" s="262"/>
      <c r="FE105" s="262"/>
      <c r="FF105" s="262"/>
      <c r="FG105" s="262"/>
      <c r="FH105" s="262"/>
      <c r="FI105" s="262"/>
      <c r="FJ105" s="262"/>
      <c r="FK105" s="262"/>
      <c r="FL105" s="262"/>
      <c r="FM105" s="262"/>
      <c r="FN105" s="262"/>
      <c r="FO105" s="262"/>
      <c r="FP105" s="262"/>
      <c r="FQ105" s="262"/>
      <c r="FR105" s="262"/>
      <c r="FS105" s="262"/>
      <c r="FT105" s="262"/>
      <c r="FU105" s="262"/>
      <c r="FV105" s="262"/>
      <c r="FW105" s="262"/>
      <c r="FX105" s="262"/>
      <c r="FY105" s="262"/>
      <c r="FZ105" s="262"/>
      <c r="GA105" s="262"/>
      <c r="GB105" s="262"/>
      <c r="GC105" s="262"/>
      <c r="GD105" s="262"/>
      <c r="GE105" s="262"/>
      <c r="GF105" s="262"/>
      <c r="GG105" s="262"/>
      <c r="GH105" s="262"/>
      <c r="GI105" s="262"/>
      <c r="GJ105" s="262"/>
      <c r="GK105" s="262"/>
      <c r="GL105" s="262"/>
      <c r="GM105" s="262"/>
      <c r="GN105" s="262"/>
      <c r="GO105" s="262"/>
      <c r="GP105" s="262"/>
      <c r="GQ105" s="262"/>
      <c r="GR105" s="262"/>
      <c r="GS105" s="262"/>
      <c r="GT105" s="262"/>
      <c r="GU105" s="262"/>
      <c r="GV105" s="262"/>
      <c r="GW105" s="262"/>
      <c r="GX105" s="262"/>
      <c r="GY105" s="262"/>
      <c r="GZ105" s="262"/>
      <c r="HA105" s="262"/>
      <c r="HB105" s="262"/>
      <c r="HC105" s="262"/>
      <c r="HD105" s="262"/>
      <c r="HE105" s="262"/>
      <c r="HF105" s="262"/>
      <c r="HG105" s="262"/>
      <c r="HH105" s="262"/>
      <c r="HI105" s="262"/>
      <c r="HJ105" s="262"/>
      <c r="HK105" s="262"/>
      <c r="HL105" s="262"/>
      <c r="HM105" s="262"/>
      <c r="HN105" s="262"/>
      <c r="HO105" s="262"/>
      <c r="HP105" s="262"/>
      <c r="HQ105" s="262"/>
      <c r="HR105" s="262"/>
      <c r="HS105" s="262"/>
      <c r="HT105" s="262"/>
      <c r="HU105" s="262"/>
      <c r="HV105" s="262"/>
      <c r="HW105" s="262"/>
      <c r="HX105" s="262"/>
      <c r="HY105" s="262"/>
      <c r="HZ105" s="262"/>
      <c r="IA105" s="262"/>
      <c r="IB105" s="262"/>
      <c r="IC105" s="262"/>
      <c r="ID105" s="262"/>
      <c r="IE105" s="262"/>
      <c r="IF105" s="262"/>
      <c r="IG105" s="262"/>
      <c r="IH105" s="262"/>
      <c r="II105" s="262"/>
      <c r="IJ105" s="262"/>
      <c r="IK105" s="262"/>
      <c r="IL105" s="262"/>
      <c r="IM105" s="262"/>
      <c r="IN105" s="262"/>
      <c r="IO105" s="262"/>
      <c r="IP105" s="262"/>
      <c r="IQ105" s="262"/>
      <c r="IR105" s="262"/>
      <c r="IS105" s="262"/>
      <c r="IT105" s="262"/>
      <c r="IU105" s="262"/>
      <c r="IV105" s="262"/>
      <c r="IW105" s="262"/>
      <c r="IX105" s="262"/>
      <c r="IY105" s="262"/>
      <c r="IZ105" s="262"/>
      <c r="JA105" s="262"/>
      <c r="JB105" s="262"/>
      <c r="JC105" s="262"/>
      <c r="JD105" s="262"/>
      <c r="JE105" s="262"/>
      <c r="JF105" s="262"/>
      <c r="JG105" s="262"/>
      <c r="JH105" s="262"/>
      <c r="JI105" s="262"/>
      <c r="JJ105" s="262"/>
      <c r="JK105" s="262"/>
      <c r="JL105" s="262"/>
      <c r="JM105" s="262"/>
      <c r="JN105" s="262"/>
      <c r="JO105" s="262"/>
      <c r="JP105" s="262"/>
      <c r="JQ105" s="262"/>
      <c r="JR105" s="262"/>
      <c r="JS105" s="262"/>
      <c r="JT105" s="262"/>
      <c r="JU105" s="262"/>
      <c r="JV105" s="262"/>
      <c r="JW105" s="262"/>
      <c r="JX105" s="262"/>
      <c r="JY105" s="262"/>
      <c r="JZ105" s="262"/>
      <c r="KA105" s="262"/>
      <c r="KB105" s="262"/>
      <c r="KC105" s="262"/>
      <c r="KD105" s="262"/>
      <c r="KE105" s="262"/>
      <c r="KF105" s="262"/>
      <c r="KG105" s="262"/>
      <c r="KH105" s="262"/>
      <c r="KI105" s="262"/>
      <c r="KJ105" s="262"/>
      <c r="KK105" s="262"/>
      <c r="KL105" s="262"/>
      <c r="KM105" s="262"/>
      <c r="KN105" s="262"/>
      <c r="KO105" s="262"/>
      <c r="KP105" s="262"/>
      <c r="KQ105" s="262"/>
      <c r="KR105" s="262"/>
      <c r="KS105" s="262"/>
      <c r="KT105" s="262"/>
      <c r="KU105" s="262"/>
      <c r="KV105" s="262"/>
      <c r="KW105" s="262"/>
      <c r="KX105" s="262"/>
      <c r="KY105" s="262"/>
      <c r="KZ105" s="262"/>
    </row>
    <row r="106" spans="1:312" s="85" customFormat="1" ht="50" customHeight="1">
      <c r="A106" s="263" t="s">
        <v>462</v>
      </c>
      <c r="B106" s="264"/>
      <c r="C106" s="86"/>
      <c r="D106" s="86"/>
      <c r="E106" s="60">
        <v>68</v>
      </c>
      <c r="F106" s="86" t="e">
        <f t="shared" si="2"/>
        <v>#DIV/0!</v>
      </c>
      <c r="G106" s="87">
        <v>3</v>
      </c>
      <c r="H106" s="87">
        <v>6</v>
      </c>
      <c r="I106" s="87"/>
      <c r="J106" s="264" t="s">
        <v>217</v>
      </c>
      <c r="K106" s="265" t="s">
        <v>463</v>
      </c>
      <c r="L106" s="98"/>
      <c r="M106" s="98"/>
      <c r="N106" s="99"/>
      <c r="O106" s="99" t="s">
        <v>335</v>
      </c>
      <c r="P106" s="266"/>
      <c r="Q106" s="93" t="s">
        <v>689</v>
      </c>
      <c r="R106" s="93"/>
      <c r="S106" s="60">
        <v>68</v>
      </c>
      <c r="T106" s="263">
        <f t="shared" si="3"/>
        <v>204</v>
      </c>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262"/>
      <c r="BT106" s="262"/>
      <c r="BU106" s="262"/>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c r="CY106" s="262"/>
      <c r="CZ106" s="262"/>
      <c r="DA106" s="262"/>
      <c r="DB106" s="262"/>
      <c r="DC106" s="262"/>
      <c r="DD106" s="262"/>
      <c r="DE106" s="262"/>
      <c r="DF106" s="262"/>
      <c r="DG106" s="262"/>
      <c r="DH106" s="262"/>
      <c r="DI106" s="262"/>
      <c r="DJ106" s="262"/>
      <c r="DK106" s="262"/>
      <c r="DL106" s="262"/>
      <c r="DM106" s="262"/>
      <c r="DN106" s="262"/>
      <c r="DO106" s="262"/>
      <c r="DP106" s="262"/>
      <c r="DQ106" s="262"/>
      <c r="DR106" s="262"/>
      <c r="DS106" s="262"/>
      <c r="DT106" s="262"/>
      <c r="DU106" s="262"/>
      <c r="DV106" s="262"/>
      <c r="DW106" s="262"/>
      <c r="DX106" s="262"/>
      <c r="DY106" s="262"/>
      <c r="DZ106" s="262"/>
      <c r="EA106" s="262"/>
      <c r="EB106" s="262"/>
      <c r="EC106" s="262"/>
      <c r="ED106" s="262"/>
      <c r="EE106" s="262"/>
      <c r="EF106" s="262"/>
      <c r="EG106" s="262"/>
      <c r="EH106" s="262"/>
      <c r="EI106" s="262"/>
      <c r="EJ106" s="262"/>
      <c r="EK106" s="262"/>
      <c r="EL106" s="262"/>
      <c r="EM106" s="262"/>
      <c r="EN106" s="262"/>
      <c r="EO106" s="262"/>
      <c r="EP106" s="262"/>
      <c r="EQ106" s="262"/>
      <c r="ER106" s="262"/>
      <c r="ES106" s="262"/>
      <c r="ET106" s="262"/>
      <c r="EU106" s="262"/>
      <c r="EV106" s="262"/>
      <c r="EW106" s="262"/>
      <c r="EX106" s="262"/>
      <c r="EY106" s="262"/>
      <c r="EZ106" s="262"/>
      <c r="FA106" s="262"/>
      <c r="FB106" s="262"/>
      <c r="FC106" s="262"/>
      <c r="FD106" s="262"/>
      <c r="FE106" s="262"/>
      <c r="FF106" s="262"/>
      <c r="FG106" s="262"/>
      <c r="FH106" s="262"/>
      <c r="FI106" s="262"/>
      <c r="FJ106" s="262"/>
      <c r="FK106" s="262"/>
      <c r="FL106" s="262"/>
      <c r="FM106" s="262"/>
      <c r="FN106" s="262"/>
      <c r="FO106" s="262"/>
      <c r="FP106" s="262"/>
      <c r="FQ106" s="262"/>
      <c r="FR106" s="262"/>
      <c r="FS106" s="262"/>
      <c r="FT106" s="262"/>
      <c r="FU106" s="262"/>
      <c r="FV106" s="262"/>
      <c r="FW106" s="262"/>
      <c r="FX106" s="262"/>
      <c r="FY106" s="262"/>
      <c r="FZ106" s="262"/>
      <c r="GA106" s="262"/>
      <c r="GB106" s="262"/>
      <c r="GC106" s="262"/>
      <c r="GD106" s="262"/>
      <c r="GE106" s="262"/>
      <c r="GF106" s="262"/>
      <c r="GG106" s="262"/>
      <c r="GH106" s="262"/>
      <c r="GI106" s="262"/>
      <c r="GJ106" s="262"/>
      <c r="GK106" s="262"/>
      <c r="GL106" s="262"/>
      <c r="GM106" s="262"/>
      <c r="GN106" s="262"/>
      <c r="GO106" s="262"/>
      <c r="GP106" s="262"/>
      <c r="GQ106" s="262"/>
      <c r="GR106" s="262"/>
      <c r="GS106" s="262"/>
      <c r="GT106" s="262"/>
      <c r="GU106" s="262"/>
      <c r="GV106" s="262"/>
      <c r="GW106" s="262"/>
      <c r="GX106" s="262"/>
      <c r="GY106" s="262"/>
      <c r="GZ106" s="262"/>
      <c r="HA106" s="262"/>
      <c r="HB106" s="262"/>
      <c r="HC106" s="262"/>
      <c r="HD106" s="262"/>
      <c r="HE106" s="262"/>
      <c r="HF106" s="262"/>
      <c r="HG106" s="262"/>
      <c r="HH106" s="262"/>
      <c r="HI106" s="262"/>
      <c r="HJ106" s="262"/>
      <c r="HK106" s="262"/>
      <c r="HL106" s="262"/>
      <c r="HM106" s="262"/>
      <c r="HN106" s="262"/>
      <c r="HO106" s="262"/>
      <c r="HP106" s="262"/>
      <c r="HQ106" s="262"/>
      <c r="HR106" s="262"/>
      <c r="HS106" s="262"/>
      <c r="HT106" s="262"/>
      <c r="HU106" s="262"/>
      <c r="HV106" s="262"/>
      <c r="HW106" s="262"/>
      <c r="HX106" s="262"/>
      <c r="HY106" s="262"/>
      <c r="HZ106" s="262"/>
      <c r="IA106" s="262"/>
      <c r="IB106" s="262"/>
      <c r="IC106" s="262"/>
      <c r="ID106" s="262"/>
      <c r="IE106" s="262"/>
      <c r="IF106" s="262"/>
      <c r="IG106" s="262"/>
      <c r="IH106" s="262"/>
      <c r="II106" s="262"/>
      <c r="IJ106" s="262"/>
      <c r="IK106" s="262"/>
      <c r="IL106" s="262"/>
      <c r="IM106" s="262"/>
      <c r="IN106" s="262"/>
      <c r="IO106" s="262"/>
      <c r="IP106" s="262"/>
      <c r="IQ106" s="262"/>
      <c r="IR106" s="262"/>
      <c r="IS106" s="262"/>
      <c r="IT106" s="262"/>
      <c r="IU106" s="262"/>
      <c r="IV106" s="262"/>
      <c r="IW106" s="262"/>
      <c r="IX106" s="262"/>
      <c r="IY106" s="262"/>
      <c r="IZ106" s="262"/>
      <c r="JA106" s="262"/>
      <c r="JB106" s="262"/>
      <c r="JC106" s="262"/>
      <c r="JD106" s="262"/>
      <c r="JE106" s="262"/>
      <c r="JF106" s="262"/>
      <c r="JG106" s="262"/>
      <c r="JH106" s="262"/>
      <c r="JI106" s="262"/>
      <c r="JJ106" s="262"/>
      <c r="JK106" s="262"/>
      <c r="JL106" s="262"/>
      <c r="JM106" s="262"/>
      <c r="JN106" s="262"/>
      <c r="JO106" s="262"/>
      <c r="JP106" s="262"/>
      <c r="JQ106" s="262"/>
      <c r="JR106" s="262"/>
      <c r="JS106" s="262"/>
      <c r="JT106" s="262"/>
      <c r="JU106" s="262"/>
      <c r="JV106" s="262"/>
      <c r="JW106" s="262"/>
      <c r="JX106" s="262"/>
      <c r="JY106" s="262"/>
      <c r="JZ106" s="262"/>
      <c r="KA106" s="262"/>
      <c r="KB106" s="262"/>
      <c r="KC106" s="262"/>
      <c r="KD106" s="262"/>
      <c r="KE106" s="262"/>
      <c r="KF106" s="262"/>
      <c r="KG106" s="262"/>
      <c r="KH106" s="262"/>
      <c r="KI106" s="262"/>
      <c r="KJ106" s="262"/>
      <c r="KK106" s="262"/>
      <c r="KL106" s="262"/>
      <c r="KM106" s="262"/>
      <c r="KN106" s="262"/>
      <c r="KO106" s="262"/>
      <c r="KP106" s="262"/>
      <c r="KQ106" s="262"/>
      <c r="KR106" s="262"/>
      <c r="KS106" s="262"/>
      <c r="KT106" s="262"/>
      <c r="KU106" s="262"/>
      <c r="KV106" s="262"/>
      <c r="KW106" s="262"/>
      <c r="KX106" s="262"/>
      <c r="KY106" s="262"/>
      <c r="KZ106" s="262"/>
    </row>
    <row r="107" spans="1:312" s="85" customFormat="1" ht="50" customHeight="1">
      <c r="A107" s="263" t="s">
        <v>465</v>
      </c>
      <c r="B107" s="264"/>
      <c r="C107" s="86"/>
      <c r="D107" s="86"/>
      <c r="E107" s="60">
        <v>68</v>
      </c>
      <c r="F107" s="86" t="e">
        <f t="shared" si="2"/>
        <v>#DIV/0!</v>
      </c>
      <c r="G107" s="87">
        <v>3</v>
      </c>
      <c r="H107" s="87">
        <v>6</v>
      </c>
      <c r="I107" s="87"/>
      <c r="J107" s="264" t="s">
        <v>217</v>
      </c>
      <c r="K107" s="265" t="s">
        <v>466</v>
      </c>
      <c r="L107" s="98"/>
      <c r="M107" s="98"/>
      <c r="N107" s="99"/>
      <c r="O107" s="99" t="s">
        <v>335</v>
      </c>
      <c r="P107" s="266"/>
      <c r="Q107" s="93" t="s">
        <v>689</v>
      </c>
      <c r="R107" s="93"/>
      <c r="S107" s="60">
        <v>68</v>
      </c>
      <c r="T107" s="263">
        <f t="shared" si="3"/>
        <v>204</v>
      </c>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262"/>
      <c r="BT107" s="262"/>
      <c r="BU107" s="262"/>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c r="CY107" s="262"/>
      <c r="CZ107" s="262"/>
      <c r="DA107" s="262"/>
      <c r="DB107" s="262"/>
      <c r="DC107" s="262"/>
      <c r="DD107" s="262"/>
      <c r="DE107" s="262"/>
      <c r="DF107" s="262"/>
      <c r="DG107" s="262"/>
      <c r="DH107" s="262"/>
      <c r="DI107" s="262"/>
      <c r="DJ107" s="262"/>
      <c r="DK107" s="262"/>
      <c r="DL107" s="262"/>
      <c r="DM107" s="262"/>
      <c r="DN107" s="262"/>
      <c r="DO107" s="262"/>
      <c r="DP107" s="262"/>
      <c r="DQ107" s="262"/>
      <c r="DR107" s="262"/>
      <c r="DS107" s="262"/>
      <c r="DT107" s="262"/>
      <c r="DU107" s="262"/>
      <c r="DV107" s="262"/>
      <c r="DW107" s="262"/>
      <c r="DX107" s="262"/>
      <c r="DY107" s="262"/>
      <c r="DZ107" s="262"/>
      <c r="EA107" s="262"/>
      <c r="EB107" s="262"/>
      <c r="EC107" s="262"/>
      <c r="ED107" s="262"/>
      <c r="EE107" s="262"/>
      <c r="EF107" s="262"/>
      <c r="EG107" s="262"/>
      <c r="EH107" s="262"/>
      <c r="EI107" s="262"/>
      <c r="EJ107" s="262"/>
      <c r="EK107" s="262"/>
      <c r="EL107" s="262"/>
      <c r="EM107" s="262"/>
      <c r="EN107" s="262"/>
      <c r="EO107" s="262"/>
      <c r="EP107" s="262"/>
      <c r="EQ107" s="262"/>
      <c r="ER107" s="262"/>
      <c r="ES107" s="262"/>
      <c r="ET107" s="262"/>
      <c r="EU107" s="262"/>
      <c r="EV107" s="262"/>
      <c r="EW107" s="262"/>
      <c r="EX107" s="262"/>
      <c r="EY107" s="262"/>
      <c r="EZ107" s="262"/>
      <c r="FA107" s="262"/>
      <c r="FB107" s="262"/>
      <c r="FC107" s="262"/>
      <c r="FD107" s="262"/>
      <c r="FE107" s="262"/>
      <c r="FF107" s="262"/>
      <c r="FG107" s="262"/>
      <c r="FH107" s="262"/>
      <c r="FI107" s="262"/>
      <c r="FJ107" s="262"/>
      <c r="FK107" s="262"/>
      <c r="FL107" s="262"/>
      <c r="FM107" s="262"/>
      <c r="FN107" s="262"/>
      <c r="FO107" s="262"/>
      <c r="FP107" s="262"/>
      <c r="FQ107" s="262"/>
      <c r="FR107" s="262"/>
      <c r="FS107" s="262"/>
      <c r="FT107" s="262"/>
      <c r="FU107" s="262"/>
      <c r="FV107" s="262"/>
      <c r="FW107" s="262"/>
      <c r="FX107" s="262"/>
      <c r="FY107" s="262"/>
      <c r="FZ107" s="262"/>
      <c r="GA107" s="262"/>
      <c r="GB107" s="262"/>
      <c r="GC107" s="262"/>
      <c r="GD107" s="262"/>
      <c r="GE107" s="262"/>
      <c r="GF107" s="262"/>
      <c r="GG107" s="262"/>
      <c r="GH107" s="262"/>
      <c r="GI107" s="262"/>
      <c r="GJ107" s="262"/>
      <c r="GK107" s="262"/>
      <c r="GL107" s="262"/>
      <c r="GM107" s="262"/>
      <c r="GN107" s="262"/>
      <c r="GO107" s="262"/>
      <c r="GP107" s="262"/>
      <c r="GQ107" s="262"/>
      <c r="GR107" s="262"/>
      <c r="GS107" s="262"/>
      <c r="GT107" s="262"/>
      <c r="GU107" s="262"/>
      <c r="GV107" s="262"/>
      <c r="GW107" s="262"/>
      <c r="GX107" s="262"/>
      <c r="GY107" s="262"/>
      <c r="GZ107" s="262"/>
      <c r="HA107" s="262"/>
      <c r="HB107" s="262"/>
      <c r="HC107" s="262"/>
      <c r="HD107" s="262"/>
      <c r="HE107" s="262"/>
      <c r="HF107" s="262"/>
      <c r="HG107" s="262"/>
      <c r="HH107" s="262"/>
      <c r="HI107" s="262"/>
      <c r="HJ107" s="262"/>
      <c r="HK107" s="262"/>
      <c r="HL107" s="262"/>
      <c r="HM107" s="262"/>
      <c r="HN107" s="262"/>
      <c r="HO107" s="262"/>
      <c r="HP107" s="262"/>
      <c r="HQ107" s="262"/>
      <c r="HR107" s="262"/>
      <c r="HS107" s="262"/>
      <c r="HT107" s="262"/>
      <c r="HU107" s="262"/>
      <c r="HV107" s="262"/>
      <c r="HW107" s="262"/>
      <c r="HX107" s="262"/>
      <c r="HY107" s="262"/>
      <c r="HZ107" s="262"/>
      <c r="IA107" s="262"/>
      <c r="IB107" s="262"/>
      <c r="IC107" s="262"/>
      <c r="ID107" s="262"/>
      <c r="IE107" s="262"/>
      <c r="IF107" s="262"/>
      <c r="IG107" s="262"/>
      <c r="IH107" s="262"/>
      <c r="II107" s="262"/>
      <c r="IJ107" s="262"/>
      <c r="IK107" s="262"/>
      <c r="IL107" s="262"/>
      <c r="IM107" s="262"/>
      <c r="IN107" s="262"/>
      <c r="IO107" s="262"/>
      <c r="IP107" s="262"/>
      <c r="IQ107" s="262"/>
      <c r="IR107" s="262"/>
      <c r="IS107" s="262"/>
      <c r="IT107" s="262"/>
      <c r="IU107" s="262"/>
      <c r="IV107" s="262"/>
      <c r="IW107" s="262"/>
      <c r="IX107" s="262"/>
      <c r="IY107" s="262"/>
      <c r="IZ107" s="262"/>
      <c r="JA107" s="262"/>
      <c r="JB107" s="262"/>
      <c r="JC107" s="262"/>
      <c r="JD107" s="262"/>
      <c r="JE107" s="262"/>
      <c r="JF107" s="262"/>
      <c r="JG107" s="262"/>
      <c r="JH107" s="262"/>
      <c r="JI107" s="262"/>
      <c r="JJ107" s="262"/>
      <c r="JK107" s="262"/>
      <c r="JL107" s="262"/>
      <c r="JM107" s="262"/>
      <c r="JN107" s="262"/>
      <c r="JO107" s="262"/>
      <c r="JP107" s="262"/>
      <c r="JQ107" s="262"/>
      <c r="JR107" s="262"/>
      <c r="JS107" s="262"/>
      <c r="JT107" s="262"/>
      <c r="JU107" s="262"/>
      <c r="JV107" s="262"/>
      <c r="JW107" s="262"/>
      <c r="JX107" s="262"/>
      <c r="JY107" s="262"/>
      <c r="JZ107" s="262"/>
      <c r="KA107" s="262"/>
      <c r="KB107" s="262"/>
      <c r="KC107" s="262"/>
      <c r="KD107" s="262"/>
      <c r="KE107" s="262"/>
      <c r="KF107" s="262"/>
      <c r="KG107" s="262"/>
      <c r="KH107" s="262"/>
      <c r="KI107" s="262"/>
      <c r="KJ107" s="262"/>
      <c r="KK107" s="262"/>
      <c r="KL107" s="262"/>
      <c r="KM107" s="262"/>
      <c r="KN107" s="262"/>
      <c r="KO107" s="262"/>
      <c r="KP107" s="262"/>
      <c r="KQ107" s="262"/>
      <c r="KR107" s="262"/>
      <c r="KS107" s="262"/>
      <c r="KT107" s="262"/>
      <c r="KU107" s="262"/>
      <c r="KV107" s="262"/>
      <c r="KW107" s="262"/>
      <c r="KX107" s="262"/>
      <c r="KY107" s="262"/>
      <c r="KZ107" s="262"/>
    </row>
    <row r="108" spans="1:312" s="85" customFormat="1" ht="50" customHeight="1">
      <c r="A108" s="263" t="s">
        <v>474</v>
      </c>
      <c r="B108" s="264"/>
      <c r="C108" s="86"/>
      <c r="D108" s="86"/>
      <c r="E108" s="60">
        <v>68</v>
      </c>
      <c r="F108" s="86" t="e">
        <f t="shared" si="2"/>
        <v>#DIV/0!</v>
      </c>
      <c r="G108" s="87">
        <v>3</v>
      </c>
      <c r="H108" s="87">
        <v>6</v>
      </c>
      <c r="I108" s="87"/>
      <c r="J108" s="264" t="s">
        <v>217</v>
      </c>
      <c r="K108" s="265" t="s">
        <v>475</v>
      </c>
      <c r="L108" s="98"/>
      <c r="M108" s="98"/>
      <c r="N108" s="99"/>
      <c r="O108" s="99" t="s">
        <v>335</v>
      </c>
      <c r="P108" s="266"/>
      <c r="Q108" s="93" t="s">
        <v>689</v>
      </c>
      <c r="R108" s="93"/>
      <c r="S108" s="60">
        <v>68</v>
      </c>
      <c r="T108" s="263">
        <f t="shared" si="3"/>
        <v>204</v>
      </c>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262"/>
      <c r="BT108" s="262"/>
      <c r="BU108" s="262"/>
      <c r="BV108" s="262"/>
      <c r="BW108" s="262"/>
      <c r="BX108" s="262"/>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2"/>
      <c r="CV108" s="262"/>
      <c r="CW108" s="262"/>
      <c r="CX108" s="262"/>
      <c r="CY108" s="262"/>
      <c r="CZ108" s="262"/>
      <c r="DA108" s="262"/>
      <c r="DB108" s="262"/>
      <c r="DC108" s="262"/>
      <c r="DD108" s="262"/>
      <c r="DE108" s="262"/>
      <c r="DF108" s="262"/>
      <c r="DG108" s="262"/>
      <c r="DH108" s="262"/>
      <c r="DI108" s="262"/>
      <c r="DJ108" s="262"/>
      <c r="DK108" s="262"/>
      <c r="DL108" s="262"/>
      <c r="DM108" s="262"/>
      <c r="DN108" s="262"/>
      <c r="DO108" s="262"/>
      <c r="DP108" s="262"/>
      <c r="DQ108" s="262"/>
      <c r="DR108" s="262"/>
      <c r="DS108" s="262"/>
      <c r="DT108" s="262"/>
      <c r="DU108" s="262"/>
      <c r="DV108" s="262"/>
      <c r="DW108" s="262"/>
      <c r="DX108" s="262"/>
      <c r="DY108" s="262"/>
      <c r="DZ108" s="262"/>
      <c r="EA108" s="262"/>
      <c r="EB108" s="262"/>
      <c r="EC108" s="262"/>
      <c r="ED108" s="262"/>
      <c r="EE108" s="262"/>
      <c r="EF108" s="262"/>
      <c r="EG108" s="262"/>
      <c r="EH108" s="262"/>
      <c r="EI108" s="262"/>
      <c r="EJ108" s="262"/>
      <c r="EK108" s="262"/>
      <c r="EL108" s="262"/>
      <c r="EM108" s="262"/>
      <c r="EN108" s="262"/>
      <c r="EO108" s="262"/>
      <c r="EP108" s="262"/>
      <c r="EQ108" s="262"/>
      <c r="ER108" s="262"/>
      <c r="ES108" s="262"/>
      <c r="ET108" s="262"/>
      <c r="EU108" s="262"/>
      <c r="EV108" s="262"/>
      <c r="EW108" s="262"/>
      <c r="EX108" s="262"/>
      <c r="EY108" s="262"/>
      <c r="EZ108" s="262"/>
      <c r="FA108" s="262"/>
      <c r="FB108" s="262"/>
      <c r="FC108" s="262"/>
      <c r="FD108" s="262"/>
      <c r="FE108" s="262"/>
      <c r="FF108" s="262"/>
      <c r="FG108" s="262"/>
      <c r="FH108" s="262"/>
      <c r="FI108" s="262"/>
      <c r="FJ108" s="262"/>
      <c r="FK108" s="262"/>
      <c r="FL108" s="262"/>
      <c r="FM108" s="262"/>
      <c r="FN108" s="262"/>
      <c r="FO108" s="262"/>
      <c r="FP108" s="262"/>
      <c r="FQ108" s="262"/>
      <c r="FR108" s="262"/>
      <c r="FS108" s="262"/>
      <c r="FT108" s="262"/>
      <c r="FU108" s="262"/>
      <c r="FV108" s="262"/>
      <c r="FW108" s="262"/>
      <c r="FX108" s="262"/>
      <c r="FY108" s="262"/>
      <c r="FZ108" s="262"/>
      <c r="GA108" s="262"/>
      <c r="GB108" s="262"/>
      <c r="GC108" s="262"/>
      <c r="GD108" s="262"/>
      <c r="GE108" s="262"/>
      <c r="GF108" s="262"/>
      <c r="GG108" s="262"/>
      <c r="GH108" s="262"/>
      <c r="GI108" s="262"/>
      <c r="GJ108" s="262"/>
      <c r="GK108" s="262"/>
      <c r="GL108" s="262"/>
      <c r="GM108" s="262"/>
      <c r="GN108" s="262"/>
      <c r="GO108" s="262"/>
      <c r="GP108" s="262"/>
      <c r="GQ108" s="262"/>
      <c r="GR108" s="262"/>
      <c r="GS108" s="262"/>
      <c r="GT108" s="262"/>
      <c r="GU108" s="262"/>
      <c r="GV108" s="262"/>
      <c r="GW108" s="262"/>
      <c r="GX108" s="262"/>
      <c r="GY108" s="262"/>
      <c r="GZ108" s="262"/>
      <c r="HA108" s="262"/>
      <c r="HB108" s="262"/>
      <c r="HC108" s="262"/>
      <c r="HD108" s="262"/>
      <c r="HE108" s="262"/>
      <c r="HF108" s="262"/>
      <c r="HG108" s="262"/>
      <c r="HH108" s="262"/>
      <c r="HI108" s="262"/>
      <c r="HJ108" s="262"/>
      <c r="HK108" s="262"/>
      <c r="HL108" s="262"/>
      <c r="HM108" s="262"/>
      <c r="HN108" s="262"/>
      <c r="HO108" s="262"/>
      <c r="HP108" s="262"/>
      <c r="HQ108" s="262"/>
      <c r="HR108" s="262"/>
      <c r="HS108" s="262"/>
      <c r="HT108" s="262"/>
      <c r="HU108" s="262"/>
      <c r="HV108" s="262"/>
      <c r="HW108" s="262"/>
      <c r="HX108" s="262"/>
      <c r="HY108" s="262"/>
      <c r="HZ108" s="262"/>
      <c r="IA108" s="262"/>
      <c r="IB108" s="262"/>
      <c r="IC108" s="262"/>
      <c r="ID108" s="262"/>
      <c r="IE108" s="262"/>
      <c r="IF108" s="262"/>
      <c r="IG108" s="262"/>
      <c r="IH108" s="262"/>
      <c r="II108" s="262"/>
      <c r="IJ108" s="262"/>
      <c r="IK108" s="262"/>
      <c r="IL108" s="262"/>
      <c r="IM108" s="262"/>
      <c r="IN108" s="262"/>
      <c r="IO108" s="262"/>
      <c r="IP108" s="262"/>
      <c r="IQ108" s="262"/>
      <c r="IR108" s="262"/>
      <c r="IS108" s="262"/>
      <c r="IT108" s="262"/>
      <c r="IU108" s="262"/>
      <c r="IV108" s="262"/>
      <c r="IW108" s="262"/>
      <c r="IX108" s="262"/>
      <c r="IY108" s="262"/>
      <c r="IZ108" s="262"/>
      <c r="JA108" s="262"/>
      <c r="JB108" s="262"/>
      <c r="JC108" s="262"/>
      <c r="JD108" s="262"/>
      <c r="JE108" s="262"/>
      <c r="JF108" s="262"/>
      <c r="JG108" s="262"/>
      <c r="JH108" s="262"/>
      <c r="JI108" s="262"/>
      <c r="JJ108" s="262"/>
      <c r="JK108" s="262"/>
      <c r="JL108" s="262"/>
      <c r="JM108" s="262"/>
      <c r="JN108" s="262"/>
      <c r="JO108" s="262"/>
      <c r="JP108" s="262"/>
      <c r="JQ108" s="262"/>
      <c r="JR108" s="262"/>
      <c r="JS108" s="262"/>
      <c r="JT108" s="262"/>
      <c r="JU108" s="262"/>
      <c r="JV108" s="262"/>
      <c r="JW108" s="262"/>
      <c r="JX108" s="262"/>
      <c r="JY108" s="262"/>
      <c r="JZ108" s="262"/>
      <c r="KA108" s="262"/>
      <c r="KB108" s="262"/>
      <c r="KC108" s="262"/>
      <c r="KD108" s="262"/>
      <c r="KE108" s="262"/>
      <c r="KF108" s="262"/>
      <c r="KG108" s="262"/>
      <c r="KH108" s="262"/>
      <c r="KI108" s="262"/>
      <c r="KJ108" s="262"/>
      <c r="KK108" s="262"/>
      <c r="KL108" s="262"/>
      <c r="KM108" s="262"/>
      <c r="KN108" s="262"/>
      <c r="KO108" s="262"/>
      <c r="KP108" s="262"/>
      <c r="KQ108" s="262"/>
      <c r="KR108" s="262"/>
      <c r="KS108" s="262"/>
      <c r="KT108" s="262"/>
      <c r="KU108" s="262"/>
      <c r="KV108" s="262"/>
      <c r="KW108" s="262"/>
      <c r="KX108" s="262"/>
      <c r="KY108" s="262"/>
      <c r="KZ108" s="262"/>
    </row>
    <row r="109" spans="1:312" s="85" customFormat="1" ht="50" customHeight="1">
      <c r="A109" s="263" t="s">
        <v>250</v>
      </c>
      <c r="B109" s="264"/>
      <c r="C109" s="86"/>
      <c r="D109" s="86"/>
      <c r="E109" s="60">
        <v>68</v>
      </c>
      <c r="F109" s="86" t="e">
        <f t="shared" si="2"/>
        <v>#DIV/0!</v>
      </c>
      <c r="G109" s="87">
        <v>3</v>
      </c>
      <c r="H109" s="87">
        <v>6</v>
      </c>
      <c r="I109" s="87"/>
      <c r="J109" s="87" t="s">
        <v>248</v>
      </c>
      <c r="K109" s="89" t="s">
        <v>251</v>
      </c>
      <c r="L109" s="90"/>
      <c r="M109" s="94"/>
      <c r="N109" s="91"/>
      <c r="O109" s="91" t="s">
        <v>335</v>
      </c>
      <c r="P109" s="92"/>
      <c r="Q109" s="95" t="s">
        <v>689</v>
      </c>
      <c r="R109" s="95" t="s">
        <v>689</v>
      </c>
      <c r="S109" s="60">
        <v>68</v>
      </c>
      <c r="T109" s="263">
        <f t="shared" si="3"/>
        <v>204</v>
      </c>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262"/>
      <c r="BT109" s="262"/>
      <c r="BU109" s="262"/>
      <c r="BV109" s="262"/>
      <c r="BW109" s="262"/>
      <c r="BX109" s="262"/>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2"/>
      <c r="CV109" s="262"/>
      <c r="CW109" s="262"/>
      <c r="CX109" s="262"/>
      <c r="CY109" s="262"/>
      <c r="CZ109" s="262"/>
      <c r="DA109" s="262"/>
      <c r="DB109" s="262"/>
      <c r="DC109" s="262"/>
      <c r="DD109" s="262"/>
      <c r="DE109" s="262"/>
      <c r="DF109" s="262"/>
      <c r="DG109" s="262"/>
      <c r="DH109" s="262"/>
      <c r="DI109" s="262"/>
      <c r="DJ109" s="262"/>
      <c r="DK109" s="262"/>
      <c r="DL109" s="262"/>
      <c r="DM109" s="262"/>
      <c r="DN109" s="262"/>
      <c r="DO109" s="262"/>
      <c r="DP109" s="262"/>
      <c r="DQ109" s="262"/>
      <c r="DR109" s="262"/>
      <c r="DS109" s="262"/>
      <c r="DT109" s="262"/>
      <c r="DU109" s="262"/>
      <c r="DV109" s="262"/>
      <c r="DW109" s="262"/>
      <c r="DX109" s="262"/>
      <c r="DY109" s="262"/>
      <c r="DZ109" s="262"/>
      <c r="EA109" s="262"/>
      <c r="EB109" s="262"/>
      <c r="EC109" s="262"/>
      <c r="ED109" s="262"/>
      <c r="EE109" s="262"/>
      <c r="EF109" s="262"/>
      <c r="EG109" s="262"/>
      <c r="EH109" s="262"/>
      <c r="EI109" s="262"/>
      <c r="EJ109" s="262"/>
      <c r="EK109" s="262"/>
      <c r="EL109" s="262"/>
      <c r="EM109" s="262"/>
      <c r="EN109" s="262"/>
      <c r="EO109" s="262"/>
      <c r="EP109" s="262"/>
      <c r="EQ109" s="262"/>
      <c r="ER109" s="262"/>
      <c r="ES109" s="262"/>
      <c r="ET109" s="262"/>
      <c r="EU109" s="262"/>
      <c r="EV109" s="262"/>
      <c r="EW109" s="262"/>
      <c r="EX109" s="262"/>
      <c r="EY109" s="262"/>
      <c r="EZ109" s="262"/>
      <c r="FA109" s="262"/>
      <c r="FB109" s="262"/>
      <c r="FC109" s="262"/>
      <c r="FD109" s="262"/>
      <c r="FE109" s="262"/>
      <c r="FF109" s="262"/>
      <c r="FG109" s="262"/>
      <c r="FH109" s="262"/>
      <c r="FI109" s="262"/>
      <c r="FJ109" s="262"/>
      <c r="FK109" s="262"/>
      <c r="FL109" s="262"/>
      <c r="FM109" s="262"/>
      <c r="FN109" s="262"/>
      <c r="FO109" s="262"/>
      <c r="FP109" s="262"/>
      <c r="FQ109" s="262"/>
      <c r="FR109" s="262"/>
      <c r="FS109" s="262"/>
      <c r="FT109" s="262"/>
      <c r="FU109" s="262"/>
      <c r="FV109" s="262"/>
      <c r="FW109" s="262"/>
      <c r="FX109" s="262"/>
      <c r="FY109" s="262"/>
      <c r="FZ109" s="262"/>
      <c r="GA109" s="262"/>
      <c r="GB109" s="262"/>
      <c r="GC109" s="262"/>
      <c r="GD109" s="262"/>
      <c r="GE109" s="262"/>
      <c r="GF109" s="262"/>
      <c r="GG109" s="262"/>
      <c r="GH109" s="262"/>
      <c r="GI109" s="262"/>
      <c r="GJ109" s="262"/>
      <c r="GK109" s="262"/>
      <c r="GL109" s="262"/>
      <c r="GM109" s="262"/>
      <c r="GN109" s="262"/>
      <c r="GO109" s="262"/>
      <c r="GP109" s="262"/>
      <c r="GQ109" s="262"/>
      <c r="GR109" s="262"/>
      <c r="GS109" s="262"/>
      <c r="GT109" s="262"/>
      <c r="GU109" s="262"/>
      <c r="GV109" s="262"/>
      <c r="GW109" s="262"/>
      <c r="GX109" s="262"/>
      <c r="GY109" s="262"/>
      <c r="GZ109" s="262"/>
      <c r="HA109" s="262"/>
      <c r="HB109" s="262"/>
      <c r="HC109" s="262"/>
      <c r="HD109" s="262"/>
      <c r="HE109" s="262"/>
      <c r="HF109" s="262"/>
      <c r="HG109" s="262"/>
      <c r="HH109" s="262"/>
      <c r="HI109" s="262"/>
      <c r="HJ109" s="262"/>
      <c r="HK109" s="262"/>
      <c r="HL109" s="262"/>
      <c r="HM109" s="262"/>
      <c r="HN109" s="262"/>
      <c r="HO109" s="262"/>
      <c r="HP109" s="262"/>
      <c r="HQ109" s="262"/>
      <c r="HR109" s="262"/>
      <c r="HS109" s="262"/>
      <c r="HT109" s="262"/>
      <c r="HU109" s="262"/>
      <c r="HV109" s="262"/>
      <c r="HW109" s="262"/>
      <c r="HX109" s="262"/>
      <c r="HY109" s="262"/>
      <c r="HZ109" s="262"/>
      <c r="IA109" s="262"/>
      <c r="IB109" s="262"/>
      <c r="IC109" s="262"/>
      <c r="ID109" s="262"/>
      <c r="IE109" s="262"/>
      <c r="IF109" s="262"/>
      <c r="IG109" s="262"/>
      <c r="IH109" s="262"/>
      <c r="II109" s="262"/>
      <c r="IJ109" s="262"/>
      <c r="IK109" s="262"/>
      <c r="IL109" s="262"/>
      <c r="IM109" s="262"/>
      <c r="IN109" s="262"/>
      <c r="IO109" s="262"/>
      <c r="IP109" s="262"/>
      <c r="IQ109" s="262"/>
      <c r="IR109" s="262"/>
      <c r="IS109" s="262"/>
      <c r="IT109" s="262"/>
      <c r="IU109" s="262"/>
      <c r="IV109" s="262"/>
      <c r="IW109" s="262"/>
      <c r="IX109" s="262"/>
      <c r="IY109" s="262"/>
      <c r="IZ109" s="262"/>
      <c r="JA109" s="262"/>
      <c r="JB109" s="262"/>
      <c r="JC109" s="262"/>
      <c r="JD109" s="262"/>
      <c r="JE109" s="262"/>
      <c r="JF109" s="262"/>
      <c r="JG109" s="262"/>
      <c r="JH109" s="262"/>
      <c r="JI109" s="262"/>
      <c r="JJ109" s="262"/>
      <c r="JK109" s="262"/>
      <c r="JL109" s="262"/>
      <c r="JM109" s="262"/>
      <c r="JN109" s="262"/>
      <c r="JO109" s="262"/>
      <c r="JP109" s="262"/>
      <c r="JQ109" s="262"/>
      <c r="JR109" s="262"/>
      <c r="JS109" s="262"/>
      <c r="JT109" s="262"/>
      <c r="JU109" s="262"/>
      <c r="JV109" s="262"/>
      <c r="JW109" s="262"/>
      <c r="JX109" s="262"/>
      <c r="JY109" s="262"/>
      <c r="JZ109" s="262"/>
      <c r="KA109" s="262"/>
      <c r="KB109" s="262"/>
      <c r="KC109" s="262"/>
      <c r="KD109" s="262"/>
      <c r="KE109" s="262"/>
      <c r="KF109" s="262"/>
      <c r="KG109" s="262"/>
      <c r="KH109" s="262"/>
      <c r="KI109" s="262"/>
      <c r="KJ109" s="262"/>
      <c r="KK109" s="262"/>
      <c r="KL109" s="262"/>
      <c r="KM109" s="262"/>
      <c r="KN109" s="262"/>
      <c r="KO109" s="262"/>
      <c r="KP109" s="262"/>
      <c r="KQ109" s="262"/>
      <c r="KR109" s="262"/>
      <c r="KS109" s="262"/>
      <c r="KT109" s="262"/>
      <c r="KU109" s="262"/>
      <c r="KV109" s="262"/>
      <c r="KW109" s="262"/>
      <c r="KX109" s="262"/>
      <c r="KY109" s="262"/>
      <c r="KZ109" s="262"/>
    </row>
    <row r="110" spans="1:312" s="85" customFormat="1" ht="50" customHeight="1">
      <c r="A110" s="263" t="s">
        <v>108</v>
      </c>
      <c r="B110" s="264"/>
      <c r="C110" s="86"/>
      <c r="D110" s="86"/>
      <c r="E110" s="60">
        <v>1503</v>
      </c>
      <c r="F110" s="86" t="e">
        <f t="shared" si="2"/>
        <v>#DIV/0!</v>
      </c>
      <c r="G110" s="87">
        <v>3</v>
      </c>
      <c r="H110" s="87">
        <v>6</v>
      </c>
      <c r="I110" s="87"/>
      <c r="J110" s="87" t="s">
        <v>248</v>
      </c>
      <c r="K110" s="89" t="s">
        <v>277</v>
      </c>
      <c r="L110" s="90" t="s">
        <v>689</v>
      </c>
      <c r="M110" s="94"/>
      <c r="N110" s="91"/>
      <c r="O110" s="91" t="s">
        <v>335</v>
      </c>
      <c r="P110" s="92"/>
      <c r="Q110" s="95" t="s">
        <v>689</v>
      </c>
      <c r="R110" s="95"/>
      <c r="S110" s="60">
        <v>1503</v>
      </c>
      <c r="T110" s="263">
        <f t="shared" si="3"/>
        <v>4509</v>
      </c>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262"/>
      <c r="BT110" s="262"/>
      <c r="BU110" s="262"/>
      <c r="BV110" s="262"/>
      <c r="BW110" s="262"/>
      <c r="BX110" s="262"/>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2"/>
      <c r="CV110" s="262"/>
      <c r="CW110" s="262"/>
      <c r="CX110" s="262"/>
      <c r="CY110" s="262"/>
      <c r="CZ110" s="262"/>
      <c r="DA110" s="262"/>
      <c r="DB110" s="262"/>
      <c r="DC110" s="262"/>
      <c r="DD110" s="262"/>
      <c r="DE110" s="262"/>
      <c r="DF110" s="262"/>
      <c r="DG110" s="262"/>
      <c r="DH110" s="262"/>
      <c r="DI110" s="262"/>
      <c r="DJ110" s="262"/>
      <c r="DK110" s="262"/>
      <c r="DL110" s="262"/>
      <c r="DM110" s="262"/>
      <c r="DN110" s="262"/>
      <c r="DO110" s="262"/>
      <c r="DP110" s="262"/>
      <c r="DQ110" s="262"/>
      <c r="DR110" s="262"/>
      <c r="DS110" s="262"/>
      <c r="DT110" s="262"/>
      <c r="DU110" s="262"/>
      <c r="DV110" s="262"/>
      <c r="DW110" s="262"/>
      <c r="DX110" s="262"/>
      <c r="DY110" s="262"/>
      <c r="DZ110" s="262"/>
      <c r="EA110" s="262"/>
      <c r="EB110" s="262"/>
      <c r="EC110" s="262"/>
      <c r="ED110" s="262"/>
      <c r="EE110" s="262"/>
      <c r="EF110" s="262"/>
      <c r="EG110" s="262"/>
      <c r="EH110" s="262"/>
      <c r="EI110" s="262"/>
      <c r="EJ110" s="262"/>
      <c r="EK110" s="262"/>
      <c r="EL110" s="262"/>
      <c r="EM110" s="262"/>
      <c r="EN110" s="262"/>
      <c r="EO110" s="262"/>
      <c r="EP110" s="262"/>
      <c r="EQ110" s="262"/>
      <c r="ER110" s="262"/>
      <c r="ES110" s="262"/>
      <c r="ET110" s="262"/>
      <c r="EU110" s="262"/>
      <c r="EV110" s="262"/>
      <c r="EW110" s="262"/>
      <c r="EX110" s="262"/>
      <c r="EY110" s="262"/>
      <c r="EZ110" s="262"/>
      <c r="FA110" s="262"/>
      <c r="FB110" s="262"/>
      <c r="FC110" s="262"/>
      <c r="FD110" s="262"/>
      <c r="FE110" s="262"/>
      <c r="FF110" s="262"/>
      <c r="FG110" s="262"/>
      <c r="FH110" s="262"/>
      <c r="FI110" s="262"/>
      <c r="FJ110" s="262"/>
      <c r="FK110" s="262"/>
      <c r="FL110" s="262"/>
      <c r="FM110" s="262"/>
      <c r="FN110" s="262"/>
      <c r="FO110" s="262"/>
      <c r="FP110" s="262"/>
      <c r="FQ110" s="262"/>
      <c r="FR110" s="262"/>
      <c r="FS110" s="262"/>
      <c r="FT110" s="262"/>
      <c r="FU110" s="262"/>
      <c r="FV110" s="262"/>
      <c r="FW110" s="262"/>
      <c r="FX110" s="262"/>
      <c r="FY110" s="262"/>
      <c r="FZ110" s="262"/>
      <c r="GA110" s="262"/>
      <c r="GB110" s="262"/>
      <c r="GC110" s="262"/>
      <c r="GD110" s="262"/>
      <c r="GE110" s="262"/>
      <c r="GF110" s="262"/>
      <c r="GG110" s="262"/>
      <c r="GH110" s="262"/>
      <c r="GI110" s="262"/>
      <c r="GJ110" s="262"/>
      <c r="GK110" s="262"/>
      <c r="GL110" s="262"/>
      <c r="GM110" s="262"/>
      <c r="GN110" s="262"/>
      <c r="GO110" s="262"/>
      <c r="GP110" s="262"/>
      <c r="GQ110" s="262"/>
      <c r="GR110" s="262"/>
      <c r="GS110" s="262"/>
      <c r="GT110" s="262"/>
      <c r="GU110" s="262"/>
      <c r="GV110" s="262"/>
      <c r="GW110" s="262"/>
      <c r="GX110" s="262"/>
      <c r="GY110" s="262"/>
      <c r="GZ110" s="262"/>
      <c r="HA110" s="262"/>
      <c r="HB110" s="262"/>
      <c r="HC110" s="262"/>
      <c r="HD110" s="262"/>
      <c r="HE110" s="262"/>
      <c r="HF110" s="262"/>
      <c r="HG110" s="262"/>
      <c r="HH110" s="262"/>
      <c r="HI110" s="262"/>
      <c r="HJ110" s="262"/>
      <c r="HK110" s="262"/>
      <c r="HL110" s="262"/>
      <c r="HM110" s="262"/>
      <c r="HN110" s="262"/>
      <c r="HO110" s="262"/>
      <c r="HP110" s="262"/>
      <c r="HQ110" s="262"/>
      <c r="HR110" s="262"/>
      <c r="HS110" s="262"/>
      <c r="HT110" s="262"/>
      <c r="HU110" s="262"/>
      <c r="HV110" s="262"/>
      <c r="HW110" s="262"/>
      <c r="HX110" s="262"/>
      <c r="HY110" s="262"/>
      <c r="HZ110" s="262"/>
      <c r="IA110" s="262"/>
      <c r="IB110" s="262"/>
      <c r="IC110" s="262"/>
      <c r="ID110" s="262"/>
      <c r="IE110" s="262"/>
      <c r="IF110" s="262"/>
      <c r="IG110" s="262"/>
      <c r="IH110" s="262"/>
      <c r="II110" s="262"/>
      <c r="IJ110" s="262"/>
      <c r="IK110" s="262"/>
      <c r="IL110" s="262"/>
      <c r="IM110" s="262"/>
      <c r="IN110" s="262"/>
      <c r="IO110" s="262"/>
      <c r="IP110" s="262"/>
      <c r="IQ110" s="262"/>
      <c r="IR110" s="262"/>
      <c r="IS110" s="262"/>
      <c r="IT110" s="262"/>
      <c r="IU110" s="262"/>
      <c r="IV110" s="262"/>
      <c r="IW110" s="262"/>
      <c r="IX110" s="262"/>
      <c r="IY110" s="262"/>
      <c r="IZ110" s="262"/>
      <c r="JA110" s="262"/>
      <c r="JB110" s="262"/>
      <c r="JC110" s="262"/>
      <c r="JD110" s="262"/>
      <c r="JE110" s="262"/>
      <c r="JF110" s="262"/>
      <c r="JG110" s="262"/>
      <c r="JH110" s="262"/>
      <c r="JI110" s="262"/>
      <c r="JJ110" s="262"/>
      <c r="JK110" s="262"/>
      <c r="JL110" s="262"/>
      <c r="JM110" s="262"/>
      <c r="JN110" s="262"/>
      <c r="JO110" s="262"/>
      <c r="JP110" s="262"/>
      <c r="JQ110" s="262"/>
      <c r="JR110" s="262"/>
      <c r="JS110" s="262"/>
      <c r="JT110" s="262"/>
      <c r="JU110" s="262"/>
      <c r="JV110" s="262"/>
      <c r="JW110" s="262"/>
      <c r="JX110" s="262"/>
      <c r="JY110" s="262"/>
      <c r="JZ110" s="262"/>
      <c r="KA110" s="262"/>
      <c r="KB110" s="262"/>
      <c r="KC110" s="262"/>
      <c r="KD110" s="262"/>
      <c r="KE110" s="262"/>
      <c r="KF110" s="262"/>
      <c r="KG110" s="262"/>
      <c r="KH110" s="262"/>
      <c r="KI110" s="262"/>
      <c r="KJ110" s="262"/>
      <c r="KK110" s="262"/>
      <c r="KL110" s="262"/>
      <c r="KM110" s="262"/>
      <c r="KN110" s="262"/>
      <c r="KO110" s="262"/>
      <c r="KP110" s="262"/>
      <c r="KQ110" s="262"/>
      <c r="KR110" s="262"/>
      <c r="KS110" s="262"/>
      <c r="KT110" s="262"/>
      <c r="KU110" s="262"/>
      <c r="KV110" s="262"/>
      <c r="KW110" s="262"/>
      <c r="KX110" s="262"/>
      <c r="KY110" s="262"/>
      <c r="KZ110" s="262"/>
    </row>
    <row r="111" spans="1:312" s="85" customFormat="1" ht="50" customHeight="1">
      <c r="A111" s="263" t="s">
        <v>97</v>
      </c>
      <c r="B111" s="264"/>
      <c r="C111" s="86"/>
      <c r="D111" s="86"/>
      <c r="E111" s="60">
        <v>184</v>
      </c>
      <c r="F111" s="86" t="e">
        <f t="shared" si="2"/>
        <v>#DIV/0!</v>
      </c>
      <c r="G111" s="87">
        <v>3</v>
      </c>
      <c r="H111" s="87">
        <v>6</v>
      </c>
      <c r="I111" s="87"/>
      <c r="J111" s="87" t="s">
        <v>240</v>
      </c>
      <c r="K111" s="89" t="s">
        <v>256</v>
      </c>
      <c r="L111" s="90"/>
      <c r="M111" s="90" t="s">
        <v>335</v>
      </c>
      <c r="N111" s="91"/>
      <c r="O111" s="91" t="s">
        <v>335</v>
      </c>
      <c r="P111" s="92"/>
      <c r="Q111" s="95"/>
      <c r="R111" s="95" t="s">
        <v>689</v>
      </c>
      <c r="S111" s="60">
        <v>184</v>
      </c>
      <c r="T111" s="263">
        <f t="shared" si="3"/>
        <v>552</v>
      </c>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2"/>
      <c r="CV111" s="262"/>
      <c r="CW111" s="262"/>
      <c r="CX111" s="262"/>
      <c r="CY111" s="262"/>
      <c r="CZ111" s="262"/>
      <c r="DA111" s="262"/>
      <c r="DB111" s="262"/>
      <c r="DC111" s="262"/>
      <c r="DD111" s="262"/>
      <c r="DE111" s="262"/>
      <c r="DF111" s="262"/>
      <c r="DG111" s="262"/>
      <c r="DH111" s="262"/>
      <c r="DI111" s="262"/>
      <c r="DJ111" s="262"/>
      <c r="DK111" s="262"/>
      <c r="DL111" s="262"/>
      <c r="DM111" s="262"/>
      <c r="DN111" s="262"/>
      <c r="DO111" s="262"/>
      <c r="DP111" s="262"/>
      <c r="DQ111" s="262"/>
      <c r="DR111" s="262"/>
      <c r="DS111" s="262"/>
      <c r="DT111" s="262"/>
      <c r="DU111" s="262"/>
      <c r="DV111" s="262"/>
      <c r="DW111" s="262"/>
      <c r="DX111" s="262"/>
      <c r="DY111" s="262"/>
      <c r="DZ111" s="262"/>
      <c r="EA111" s="262"/>
      <c r="EB111" s="262"/>
      <c r="EC111" s="262"/>
      <c r="ED111" s="262"/>
      <c r="EE111" s="262"/>
      <c r="EF111" s="262"/>
      <c r="EG111" s="262"/>
      <c r="EH111" s="262"/>
      <c r="EI111" s="262"/>
      <c r="EJ111" s="262"/>
      <c r="EK111" s="262"/>
      <c r="EL111" s="262"/>
      <c r="EM111" s="262"/>
      <c r="EN111" s="262"/>
      <c r="EO111" s="262"/>
      <c r="EP111" s="262"/>
      <c r="EQ111" s="262"/>
      <c r="ER111" s="262"/>
      <c r="ES111" s="262"/>
      <c r="ET111" s="262"/>
      <c r="EU111" s="262"/>
      <c r="EV111" s="262"/>
      <c r="EW111" s="262"/>
      <c r="EX111" s="262"/>
      <c r="EY111" s="262"/>
      <c r="EZ111" s="262"/>
      <c r="FA111" s="262"/>
      <c r="FB111" s="262"/>
      <c r="FC111" s="262"/>
      <c r="FD111" s="262"/>
      <c r="FE111" s="262"/>
      <c r="FF111" s="262"/>
      <c r="FG111" s="262"/>
      <c r="FH111" s="262"/>
      <c r="FI111" s="262"/>
      <c r="FJ111" s="262"/>
      <c r="FK111" s="262"/>
      <c r="FL111" s="262"/>
      <c r="FM111" s="262"/>
      <c r="FN111" s="262"/>
      <c r="FO111" s="262"/>
      <c r="FP111" s="262"/>
      <c r="FQ111" s="262"/>
      <c r="FR111" s="262"/>
      <c r="FS111" s="262"/>
      <c r="FT111" s="262"/>
      <c r="FU111" s="262"/>
      <c r="FV111" s="262"/>
      <c r="FW111" s="262"/>
      <c r="FX111" s="262"/>
      <c r="FY111" s="262"/>
      <c r="FZ111" s="262"/>
      <c r="GA111" s="262"/>
      <c r="GB111" s="262"/>
      <c r="GC111" s="262"/>
      <c r="GD111" s="262"/>
      <c r="GE111" s="262"/>
      <c r="GF111" s="262"/>
      <c r="GG111" s="262"/>
      <c r="GH111" s="262"/>
      <c r="GI111" s="262"/>
      <c r="GJ111" s="262"/>
      <c r="GK111" s="262"/>
      <c r="GL111" s="262"/>
      <c r="GM111" s="262"/>
      <c r="GN111" s="262"/>
      <c r="GO111" s="262"/>
      <c r="GP111" s="262"/>
      <c r="GQ111" s="262"/>
      <c r="GR111" s="262"/>
      <c r="GS111" s="262"/>
      <c r="GT111" s="262"/>
      <c r="GU111" s="262"/>
      <c r="GV111" s="262"/>
      <c r="GW111" s="262"/>
      <c r="GX111" s="262"/>
      <c r="GY111" s="262"/>
      <c r="GZ111" s="262"/>
      <c r="HA111" s="262"/>
      <c r="HB111" s="262"/>
      <c r="HC111" s="262"/>
      <c r="HD111" s="262"/>
      <c r="HE111" s="262"/>
      <c r="HF111" s="262"/>
      <c r="HG111" s="262"/>
      <c r="HH111" s="262"/>
      <c r="HI111" s="262"/>
      <c r="HJ111" s="262"/>
      <c r="HK111" s="262"/>
      <c r="HL111" s="262"/>
      <c r="HM111" s="262"/>
      <c r="HN111" s="262"/>
      <c r="HO111" s="262"/>
      <c r="HP111" s="262"/>
      <c r="HQ111" s="262"/>
      <c r="HR111" s="262"/>
      <c r="HS111" s="262"/>
      <c r="HT111" s="262"/>
      <c r="HU111" s="262"/>
      <c r="HV111" s="262"/>
      <c r="HW111" s="262"/>
      <c r="HX111" s="262"/>
      <c r="HY111" s="262"/>
      <c r="HZ111" s="262"/>
      <c r="IA111" s="262"/>
      <c r="IB111" s="262"/>
      <c r="IC111" s="262"/>
      <c r="ID111" s="262"/>
      <c r="IE111" s="262"/>
      <c r="IF111" s="262"/>
      <c r="IG111" s="262"/>
      <c r="IH111" s="262"/>
      <c r="II111" s="262"/>
      <c r="IJ111" s="262"/>
      <c r="IK111" s="262"/>
      <c r="IL111" s="262"/>
      <c r="IM111" s="262"/>
      <c r="IN111" s="262"/>
      <c r="IO111" s="262"/>
      <c r="IP111" s="262"/>
      <c r="IQ111" s="262"/>
      <c r="IR111" s="262"/>
      <c r="IS111" s="262"/>
      <c r="IT111" s="262"/>
      <c r="IU111" s="262"/>
      <c r="IV111" s="262"/>
      <c r="IW111" s="262"/>
      <c r="IX111" s="262"/>
      <c r="IY111" s="262"/>
      <c r="IZ111" s="262"/>
      <c r="JA111" s="262"/>
      <c r="JB111" s="262"/>
      <c r="JC111" s="262"/>
      <c r="JD111" s="262"/>
      <c r="JE111" s="262"/>
      <c r="JF111" s="262"/>
      <c r="JG111" s="262"/>
      <c r="JH111" s="262"/>
      <c r="JI111" s="262"/>
      <c r="JJ111" s="262"/>
      <c r="JK111" s="262"/>
      <c r="JL111" s="262"/>
      <c r="JM111" s="262"/>
      <c r="JN111" s="262"/>
      <c r="JO111" s="262"/>
      <c r="JP111" s="262"/>
      <c r="JQ111" s="262"/>
      <c r="JR111" s="262"/>
      <c r="JS111" s="262"/>
      <c r="JT111" s="262"/>
      <c r="JU111" s="262"/>
      <c r="JV111" s="262"/>
      <c r="JW111" s="262"/>
      <c r="JX111" s="262"/>
      <c r="JY111" s="262"/>
      <c r="JZ111" s="262"/>
      <c r="KA111" s="262"/>
      <c r="KB111" s="262"/>
      <c r="KC111" s="262"/>
      <c r="KD111" s="262"/>
      <c r="KE111" s="262"/>
      <c r="KF111" s="262"/>
      <c r="KG111" s="262"/>
      <c r="KH111" s="262"/>
      <c r="KI111" s="262"/>
      <c r="KJ111" s="262"/>
      <c r="KK111" s="262"/>
      <c r="KL111" s="262"/>
      <c r="KM111" s="262"/>
      <c r="KN111" s="262"/>
      <c r="KO111" s="262"/>
      <c r="KP111" s="262"/>
      <c r="KQ111" s="262"/>
      <c r="KR111" s="262"/>
      <c r="KS111" s="262"/>
      <c r="KT111" s="262"/>
      <c r="KU111" s="262"/>
      <c r="KV111" s="262"/>
      <c r="KW111" s="262"/>
      <c r="KX111" s="262"/>
      <c r="KY111" s="262"/>
      <c r="KZ111" s="262"/>
    </row>
    <row r="112" spans="1:312" s="85" customFormat="1" ht="50" customHeight="1">
      <c r="A112" s="263" t="s">
        <v>109</v>
      </c>
      <c r="B112" s="264"/>
      <c r="C112" s="86"/>
      <c r="D112" s="86"/>
      <c r="E112" s="60">
        <v>184</v>
      </c>
      <c r="F112" s="86" t="e">
        <f t="shared" si="2"/>
        <v>#DIV/0!</v>
      </c>
      <c r="G112" s="87">
        <v>3</v>
      </c>
      <c r="H112" s="87">
        <v>6</v>
      </c>
      <c r="I112" s="87"/>
      <c r="J112" s="87" t="s">
        <v>240</v>
      </c>
      <c r="K112" s="89" t="s">
        <v>717</v>
      </c>
      <c r="L112" s="90"/>
      <c r="M112" s="90" t="s">
        <v>689</v>
      </c>
      <c r="N112" s="91"/>
      <c r="O112" s="91" t="s">
        <v>335</v>
      </c>
      <c r="P112" s="92"/>
      <c r="Q112" s="95" t="s">
        <v>689</v>
      </c>
      <c r="R112" s="95" t="s">
        <v>689</v>
      </c>
      <c r="S112" s="60">
        <v>184</v>
      </c>
      <c r="T112" s="263">
        <f t="shared" si="3"/>
        <v>552</v>
      </c>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262"/>
      <c r="BT112" s="262"/>
      <c r="BU112" s="262"/>
      <c r="BV112" s="262"/>
      <c r="BW112" s="262"/>
      <c r="BX112" s="262"/>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2"/>
      <c r="CV112" s="262"/>
      <c r="CW112" s="262"/>
      <c r="CX112" s="262"/>
      <c r="CY112" s="262"/>
      <c r="CZ112" s="262"/>
      <c r="DA112" s="262"/>
      <c r="DB112" s="262"/>
      <c r="DC112" s="262"/>
      <c r="DD112" s="262"/>
      <c r="DE112" s="262"/>
      <c r="DF112" s="262"/>
      <c r="DG112" s="262"/>
      <c r="DH112" s="262"/>
      <c r="DI112" s="262"/>
      <c r="DJ112" s="262"/>
      <c r="DK112" s="262"/>
      <c r="DL112" s="262"/>
      <c r="DM112" s="262"/>
      <c r="DN112" s="262"/>
      <c r="DO112" s="262"/>
      <c r="DP112" s="262"/>
      <c r="DQ112" s="262"/>
      <c r="DR112" s="262"/>
      <c r="DS112" s="262"/>
      <c r="DT112" s="262"/>
      <c r="DU112" s="262"/>
      <c r="DV112" s="262"/>
      <c r="DW112" s="262"/>
      <c r="DX112" s="262"/>
      <c r="DY112" s="262"/>
      <c r="DZ112" s="262"/>
      <c r="EA112" s="262"/>
      <c r="EB112" s="262"/>
      <c r="EC112" s="262"/>
      <c r="ED112" s="262"/>
      <c r="EE112" s="262"/>
      <c r="EF112" s="262"/>
      <c r="EG112" s="262"/>
      <c r="EH112" s="262"/>
      <c r="EI112" s="262"/>
      <c r="EJ112" s="262"/>
      <c r="EK112" s="262"/>
      <c r="EL112" s="262"/>
      <c r="EM112" s="262"/>
      <c r="EN112" s="262"/>
      <c r="EO112" s="262"/>
      <c r="EP112" s="262"/>
      <c r="EQ112" s="262"/>
      <c r="ER112" s="262"/>
      <c r="ES112" s="262"/>
      <c r="ET112" s="262"/>
      <c r="EU112" s="262"/>
      <c r="EV112" s="262"/>
      <c r="EW112" s="262"/>
      <c r="EX112" s="262"/>
      <c r="EY112" s="262"/>
      <c r="EZ112" s="262"/>
      <c r="FA112" s="262"/>
      <c r="FB112" s="262"/>
      <c r="FC112" s="262"/>
      <c r="FD112" s="262"/>
      <c r="FE112" s="262"/>
      <c r="FF112" s="262"/>
      <c r="FG112" s="262"/>
      <c r="FH112" s="262"/>
      <c r="FI112" s="262"/>
      <c r="FJ112" s="262"/>
      <c r="FK112" s="262"/>
      <c r="FL112" s="262"/>
      <c r="FM112" s="262"/>
      <c r="FN112" s="262"/>
      <c r="FO112" s="262"/>
      <c r="FP112" s="262"/>
      <c r="FQ112" s="262"/>
      <c r="FR112" s="262"/>
      <c r="FS112" s="262"/>
      <c r="FT112" s="262"/>
      <c r="FU112" s="262"/>
      <c r="FV112" s="262"/>
      <c r="FW112" s="262"/>
      <c r="FX112" s="262"/>
      <c r="FY112" s="262"/>
      <c r="FZ112" s="262"/>
      <c r="GA112" s="262"/>
      <c r="GB112" s="262"/>
      <c r="GC112" s="262"/>
      <c r="GD112" s="262"/>
      <c r="GE112" s="262"/>
      <c r="GF112" s="262"/>
      <c r="GG112" s="262"/>
      <c r="GH112" s="262"/>
      <c r="GI112" s="262"/>
      <c r="GJ112" s="262"/>
      <c r="GK112" s="262"/>
      <c r="GL112" s="262"/>
      <c r="GM112" s="262"/>
      <c r="GN112" s="262"/>
      <c r="GO112" s="262"/>
      <c r="GP112" s="262"/>
      <c r="GQ112" s="262"/>
      <c r="GR112" s="262"/>
      <c r="GS112" s="262"/>
      <c r="GT112" s="262"/>
      <c r="GU112" s="262"/>
      <c r="GV112" s="262"/>
      <c r="GW112" s="262"/>
      <c r="GX112" s="262"/>
      <c r="GY112" s="262"/>
      <c r="GZ112" s="262"/>
      <c r="HA112" s="262"/>
      <c r="HB112" s="262"/>
      <c r="HC112" s="262"/>
      <c r="HD112" s="262"/>
      <c r="HE112" s="262"/>
      <c r="HF112" s="262"/>
      <c r="HG112" s="262"/>
      <c r="HH112" s="262"/>
      <c r="HI112" s="262"/>
      <c r="HJ112" s="262"/>
      <c r="HK112" s="262"/>
      <c r="HL112" s="262"/>
      <c r="HM112" s="262"/>
      <c r="HN112" s="262"/>
      <c r="HO112" s="262"/>
      <c r="HP112" s="262"/>
      <c r="HQ112" s="262"/>
      <c r="HR112" s="262"/>
      <c r="HS112" s="262"/>
      <c r="HT112" s="262"/>
      <c r="HU112" s="262"/>
      <c r="HV112" s="262"/>
      <c r="HW112" s="262"/>
      <c r="HX112" s="262"/>
      <c r="HY112" s="262"/>
      <c r="HZ112" s="262"/>
      <c r="IA112" s="262"/>
      <c r="IB112" s="262"/>
      <c r="IC112" s="262"/>
      <c r="ID112" s="262"/>
      <c r="IE112" s="262"/>
      <c r="IF112" s="262"/>
      <c r="IG112" s="262"/>
      <c r="IH112" s="262"/>
      <c r="II112" s="262"/>
      <c r="IJ112" s="262"/>
      <c r="IK112" s="262"/>
      <c r="IL112" s="262"/>
      <c r="IM112" s="262"/>
      <c r="IN112" s="262"/>
      <c r="IO112" s="262"/>
      <c r="IP112" s="262"/>
      <c r="IQ112" s="262"/>
      <c r="IR112" s="262"/>
      <c r="IS112" s="262"/>
      <c r="IT112" s="262"/>
      <c r="IU112" s="262"/>
      <c r="IV112" s="262"/>
      <c r="IW112" s="262"/>
      <c r="IX112" s="262"/>
      <c r="IY112" s="262"/>
      <c r="IZ112" s="262"/>
      <c r="JA112" s="262"/>
      <c r="JB112" s="262"/>
      <c r="JC112" s="262"/>
      <c r="JD112" s="262"/>
      <c r="JE112" s="262"/>
      <c r="JF112" s="262"/>
      <c r="JG112" s="262"/>
      <c r="JH112" s="262"/>
      <c r="JI112" s="262"/>
      <c r="JJ112" s="262"/>
      <c r="JK112" s="262"/>
      <c r="JL112" s="262"/>
      <c r="JM112" s="262"/>
      <c r="JN112" s="262"/>
      <c r="JO112" s="262"/>
      <c r="JP112" s="262"/>
      <c r="JQ112" s="262"/>
      <c r="JR112" s="262"/>
      <c r="JS112" s="262"/>
      <c r="JT112" s="262"/>
      <c r="JU112" s="262"/>
      <c r="JV112" s="262"/>
      <c r="JW112" s="262"/>
      <c r="JX112" s="262"/>
      <c r="JY112" s="262"/>
      <c r="JZ112" s="262"/>
      <c r="KA112" s="262"/>
      <c r="KB112" s="262"/>
      <c r="KC112" s="262"/>
      <c r="KD112" s="262"/>
      <c r="KE112" s="262"/>
      <c r="KF112" s="262"/>
      <c r="KG112" s="262"/>
      <c r="KH112" s="262"/>
      <c r="KI112" s="262"/>
      <c r="KJ112" s="262"/>
      <c r="KK112" s="262"/>
      <c r="KL112" s="262"/>
      <c r="KM112" s="262"/>
      <c r="KN112" s="262"/>
      <c r="KO112" s="262"/>
      <c r="KP112" s="262"/>
      <c r="KQ112" s="262"/>
      <c r="KR112" s="262"/>
      <c r="KS112" s="262"/>
      <c r="KT112" s="262"/>
      <c r="KU112" s="262"/>
      <c r="KV112" s="262"/>
      <c r="KW112" s="262"/>
      <c r="KX112" s="262"/>
      <c r="KY112" s="262"/>
      <c r="KZ112" s="262"/>
    </row>
    <row r="113" spans="1:312" s="85" customFormat="1" ht="50" customHeight="1">
      <c r="A113" s="263" t="s">
        <v>146</v>
      </c>
      <c r="B113" s="264"/>
      <c r="C113" s="86"/>
      <c r="D113" s="86"/>
      <c r="E113" s="60">
        <v>68</v>
      </c>
      <c r="F113" s="86" t="e">
        <f t="shared" si="2"/>
        <v>#DIV/0!</v>
      </c>
      <c r="G113" s="87">
        <v>2</v>
      </c>
      <c r="H113" s="87">
        <v>5</v>
      </c>
      <c r="I113" s="87"/>
      <c r="J113" s="87" t="s">
        <v>204</v>
      </c>
      <c r="K113" s="89" t="s">
        <v>718</v>
      </c>
      <c r="L113" s="94"/>
      <c r="M113" s="94"/>
      <c r="N113" s="91"/>
      <c r="O113" s="91" t="s">
        <v>335</v>
      </c>
      <c r="P113" s="92"/>
      <c r="Q113" s="95" t="s">
        <v>689</v>
      </c>
      <c r="R113" s="95" t="s">
        <v>689</v>
      </c>
      <c r="S113" s="60">
        <v>68</v>
      </c>
      <c r="T113" s="263">
        <f t="shared" si="3"/>
        <v>136</v>
      </c>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262"/>
      <c r="BT113" s="262"/>
      <c r="BU113" s="262"/>
      <c r="BV113" s="262"/>
      <c r="BW113" s="262"/>
      <c r="BX113" s="262"/>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2"/>
      <c r="CV113" s="262"/>
      <c r="CW113" s="262"/>
      <c r="CX113" s="262"/>
      <c r="CY113" s="262"/>
      <c r="CZ113" s="262"/>
      <c r="DA113" s="262"/>
      <c r="DB113" s="262"/>
      <c r="DC113" s="262"/>
      <c r="DD113" s="262"/>
      <c r="DE113" s="262"/>
      <c r="DF113" s="262"/>
      <c r="DG113" s="262"/>
      <c r="DH113" s="262"/>
      <c r="DI113" s="262"/>
      <c r="DJ113" s="262"/>
      <c r="DK113" s="262"/>
      <c r="DL113" s="262"/>
      <c r="DM113" s="262"/>
      <c r="DN113" s="262"/>
      <c r="DO113" s="262"/>
      <c r="DP113" s="262"/>
      <c r="DQ113" s="262"/>
      <c r="DR113" s="262"/>
      <c r="DS113" s="262"/>
      <c r="DT113" s="262"/>
      <c r="DU113" s="262"/>
      <c r="DV113" s="262"/>
      <c r="DW113" s="262"/>
      <c r="DX113" s="262"/>
      <c r="DY113" s="262"/>
      <c r="DZ113" s="262"/>
      <c r="EA113" s="262"/>
      <c r="EB113" s="262"/>
      <c r="EC113" s="262"/>
      <c r="ED113" s="262"/>
      <c r="EE113" s="262"/>
      <c r="EF113" s="262"/>
      <c r="EG113" s="262"/>
      <c r="EH113" s="262"/>
      <c r="EI113" s="262"/>
      <c r="EJ113" s="262"/>
      <c r="EK113" s="262"/>
      <c r="EL113" s="262"/>
      <c r="EM113" s="262"/>
      <c r="EN113" s="262"/>
      <c r="EO113" s="262"/>
      <c r="EP113" s="262"/>
      <c r="EQ113" s="262"/>
      <c r="ER113" s="262"/>
      <c r="ES113" s="262"/>
      <c r="ET113" s="262"/>
      <c r="EU113" s="262"/>
      <c r="EV113" s="262"/>
      <c r="EW113" s="262"/>
      <c r="EX113" s="262"/>
      <c r="EY113" s="262"/>
      <c r="EZ113" s="262"/>
      <c r="FA113" s="262"/>
      <c r="FB113" s="262"/>
      <c r="FC113" s="262"/>
      <c r="FD113" s="262"/>
      <c r="FE113" s="262"/>
      <c r="FF113" s="262"/>
      <c r="FG113" s="262"/>
      <c r="FH113" s="262"/>
      <c r="FI113" s="262"/>
      <c r="FJ113" s="262"/>
      <c r="FK113" s="262"/>
      <c r="FL113" s="262"/>
      <c r="FM113" s="262"/>
      <c r="FN113" s="262"/>
      <c r="FO113" s="262"/>
      <c r="FP113" s="262"/>
      <c r="FQ113" s="262"/>
      <c r="FR113" s="262"/>
      <c r="FS113" s="262"/>
      <c r="FT113" s="262"/>
      <c r="FU113" s="262"/>
      <c r="FV113" s="262"/>
      <c r="FW113" s="262"/>
      <c r="FX113" s="262"/>
      <c r="FY113" s="262"/>
      <c r="FZ113" s="262"/>
      <c r="GA113" s="262"/>
      <c r="GB113" s="262"/>
      <c r="GC113" s="262"/>
      <c r="GD113" s="262"/>
      <c r="GE113" s="262"/>
      <c r="GF113" s="262"/>
      <c r="GG113" s="262"/>
      <c r="GH113" s="262"/>
      <c r="GI113" s="262"/>
      <c r="GJ113" s="262"/>
      <c r="GK113" s="262"/>
      <c r="GL113" s="262"/>
      <c r="GM113" s="262"/>
      <c r="GN113" s="262"/>
      <c r="GO113" s="262"/>
      <c r="GP113" s="262"/>
      <c r="GQ113" s="262"/>
      <c r="GR113" s="262"/>
      <c r="GS113" s="262"/>
      <c r="GT113" s="262"/>
      <c r="GU113" s="262"/>
      <c r="GV113" s="262"/>
      <c r="GW113" s="262"/>
      <c r="GX113" s="262"/>
      <c r="GY113" s="262"/>
      <c r="GZ113" s="262"/>
      <c r="HA113" s="262"/>
      <c r="HB113" s="262"/>
      <c r="HC113" s="262"/>
      <c r="HD113" s="262"/>
      <c r="HE113" s="262"/>
      <c r="HF113" s="262"/>
      <c r="HG113" s="262"/>
      <c r="HH113" s="262"/>
      <c r="HI113" s="262"/>
      <c r="HJ113" s="262"/>
      <c r="HK113" s="262"/>
      <c r="HL113" s="262"/>
      <c r="HM113" s="262"/>
      <c r="HN113" s="262"/>
      <c r="HO113" s="262"/>
      <c r="HP113" s="262"/>
      <c r="HQ113" s="262"/>
      <c r="HR113" s="262"/>
      <c r="HS113" s="262"/>
      <c r="HT113" s="262"/>
      <c r="HU113" s="262"/>
      <c r="HV113" s="262"/>
      <c r="HW113" s="262"/>
      <c r="HX113" s="262"/>
      <c r="HY113" s="262"/>
      <c r="HZ113" s="262"/>
      <c r="IA113" s="262"/>
      <c r="IB113" s="262"/>
      <c r="IC113" s="262"/>
      <c r="ID113" s="262"/>
      <c r="IE113" s="262"/>
      <c r="IF113" s="262"/>
      <c r="IG113" s="262"/>
      <c r="IH113" s="262"/>
      <c r="II113" s="262"/>
      <c r="IJ113" s="262"/>
      <c r="IK113" s="262"/>
      <c r="IL113" s="262"/>
      <c r="IM113" s="262"/>
      <c r="IN113" s="262"/>
      <c r="IO113" s="262"/>
      <c r="IP113" s="262"/>
      <c r="IQ113" s="262"/>
      <c r="IR113" s="262"/>
      <c r="IS113" s="262"/>
      <c r="IT113" s="262"/>
      <c r="IU113" s="262"/>
      <c r="IV113" s="262"/>
      <c r="IW113" s="262"/>
      <c r="IX113" s="262"/>
      <c r="IY113" s="262"/>
      <c r="IZ113" s="262"/>
      <c r="JA113" s="262"/>
      <c r="JB113" s="262"/>
      <c r="JC113" s="262"/>
      <c r="JD113" s="262"/>
      <c r="JE113" s="262"/>
      <c r="JF113" s="262"/>
      <c r="JG113" s="262"/>
      <c r="JH113" s="262"/>
      <c r="JI113" s="262"/>
      <c r="JJ113" s="262"/>
      <c r="JK113" s="262"/>
      <c r="JL113" s="262"/>
      <c r="JM113" s="262"/>
      <c r="JN113" s="262"/>
      <c r="JO113" s="262"/>
      <c r="JP113" s="262"/>
      <c r="JQ113" s="262"/>
      <c r="JR113" s="262"/>
      <c r="JS113" s="262"/>
      <c r="JT113" s="262"/>
      <c r="JU113" s="262"/>
      <c r="JV113" s="262"/>
      <c r="JW113" s="262"/>
      <c r="JX113" s="262"/>
      <c r="JY113" s="262"/>
      <c r="JZ113" s="262"/>
      <c r="KA113" s="262"/>
      <c r="KB113" s="262"/>
      <c r="KC113" s="262"/>
      <c r="KD113" s="262"/>
      <c r="KE113" s="262"/>
      <c r="KF113" s="262"/>
      <c r="KG113" s="262"/>
      <c r="KH113" s="262"/>
      <c r="KI113" s="262"/>
      <c r="KJ113" s="262"/>
      <c r="KK113" s="262"/>
      <c r="KL113" s="262"/>
      <c r="KM113" s="262"/>
      <c r="KN113" s="262"/>
      <c r="KO113" s="262"/>
      <c r="KP113" s="262"/>
      <c r="KQ113" s="262"/>
      <c r="KR113" s="262"/>
      <c r="KS113" s="262"/>
      <c r="KT113" s="262"/>
      <c r="KU113" s="262"/>
      <c r="KV113" s="262"/>
      <c r="KW113" s="262"/>
      <c r="KX113" s="262"/>
      <c r="KY113" s="262"/>
      <c r="KZ113" s="262"/>
    </row>
    <row r="114" spans="1:312" s="85" customFormat="1" ht="50" customHeight="1">
      <c r="A114" s="263" t="s">
        <v>120</v>
      </c>
      <c r="B114" s="264"/>
      <c r="C114" s="86"/>
      <c r="D114" s="86"/>
      <c r="E114" s="60">
        <v>68</v>
      </c>
      <c r="F114" s="86" t="e">
        <f t="shared" si="2"/>
        <v>#DIV/0!</v>
      </c>
      <c r="G114" s="87">
        <v>2</v>
      </c>
      <c r="H114" s="87">
        <v>5</v>
      </c>
      <c r="I114" s="87"/>
      <c r="J114" s="87" t="s">
        <v>204</v>
      </c>
      <c r="K114" s="89" t="s">
        <v>719</v>
      </c>
      <c r="L114" s="94"/>
      <c r="M114" s="94"/>
      <c r="N114" s="91"/>
      <c r="O114" s="91" t="s">
        <v>335</v>
      </c>
      <c r="P114" s="92"/>
      <c r="Q114" s="95" t="s">
        <v>689</v>
      </c>
      <c r="R114" s="95" t="s">
        <v>689</v>
      </c>
      <c r="S114" s="60">
        <v>68</v>
      </c>
      <c r="T114" s="263">
        <f t="shared" si="3"/>
        <v>136</v>
      </c>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2"/>
      <c r="CV114" s="262"/>
      <c r="CW114" s="262"/>
      <c r="CX114" s="262"/>
      <c r="CY114" s="262"/>
      <c r="CZ114" s="262"/>
      <c r="DA114" s="262"/>
      <c r="DB114" s="262"/>
      <c r="DC114" s="262"/>
      <c r="DD114" s="262"/>
      <c r="DE114" s="262"/>
      <c r="DF114" s="262"/>
      <c r="DG114" s="262"/>
      <c r="DH114" s="262"/>
      <c r="DI114" s="262"/>
      <c r="DJ114" s="262"/>
      <c r="DK114" s="262"/>
      <c r="DL114" s="262"/>
      <c r="DM114" s="262"/>
      <c r="DN114" s="262"/>
      <c r="DO114" s="262"/>
      <c r="DP114" s="262"/>
      <c r="DQ114" s="262"/>
      <c r="DR114" s="262"/>
      <c r="DS114" s="262"/>
      <c r="DT114" s="262"/>
      <c r="DU114" s="262"/>
      <c r="DV114" s="262"/>
      <c r="DW114" s="262"/>
      <c r="DX114" s="262"/>
      <c r="DY114" s="262"/>
      <c r="DZ114" s="262"/>
      <c r="EA114" s="262"/>
      <c r="EB114" s="262"/>
      <c r="EC114" s="262"/>
      <c r="ED114" s="262"/>
      <c r="EE114" s="262"/>
      <c r="EF114" s="262"/>
      <c r="EG114" s="262"/>
      <c r="EH114" s="262"/>
      <c r="EI114" s="262"/>
      <c r="EJ114" s="262"/>
      <c r="EK114" s="262"/>
      <c r="EL114" s="262"/>
      <c r="EM114" s="262"/>
      <c r="EN114" s="262"/>
      <c r="EO114" s="262"/>
      <c r="EP114" s="262"/>
      <c r="EQ114" s="262"/>
      <c r="ER114" s="262"/>
      <c r="ES114" s="262"/>
      <c r="ET114" s="262"/>
      <c r="EU114" s="262"/>
      <c r="EV114" s="262"/>
      <c r="EW114" s="262"/>
      <c r="EX114" s="262"/>
      <c r="EY114" s="262"/>
      <c r="EZ114" s="262"/>
      <c r="FA114" s="262"/>
      <c r="FB114" s="262"/>
      <c r="FC114" s="262"/>
      <c r="FD114" s="262"/>
      <c r="FE114" s="262"/>
      <c r="FF114" s="262"/>
      <c r="FG114" s="262"/>
      <c r="FH114" s="262"/>
      <c r="FI114" s="262"/>
      <c r="FJ114" s="262"/>
      <c r="FK114" s="262"/>
      <c r="FL114" s="262"/>
      <c r="FM114" s="262"/>
      <c r="FN114" s="262"/>
      <c r="FO114" s="262"/>
      <c r="FP114" s="262"/>
      <c r="FQ114" s="262"/>
      <c r="FR114" s="262"/>
      <c r="FS114" s="262"/>
      <c r="FT114" s="262"/>
      <c r="FU114" s="262"/>
      <c r="FV114" s="262"/>
      <c r="FW114" s="262"/>
      <c r="FX114" s="262"/>
      <c r="FY114" s="262"/>
      <c r="FZ114" s="262"/>
      <c r="GA114" s="262"/>
      <c r="GB114" s="262"/>
      <c r="GC114" s="262"/>
      <c r="GD114" s="262"/>
      <c r="GE114" s="262"/>
      <c r="GF114" s="262"/>
      <c r="GG114" s="262"/>
      <c r="GH114" s="262"/>
      <c r="GI114" s="262"/>
      <c r="GJ114" s="262"/>
      <c r="GK114" s="262"/>
      <c r="GL114" s="262"/>
      <c r="GM114" s="262"/>
      <c r="GN114" s="262"/>
      <c r="GO114" s="262"/>
      <c r="GP114" s="262"/>
      <c r="GQ114" s="262"/>
      <c r="GR114" s="262"/>
      <c r="GS114" s="262"/>
      <c r="GT114" s="262"/>
      <c r="GU114" s="262"/>
      <c r="GV114" s="262"/>
      <c r="GW114" s="262"/>
      <c r="GX114" s="262"/>
      <c r="GY114" s="262"/>
      <c r="GZ114" s="262"/>
      <c r="HA114" s="262"/>
      <c r="HB114" s="262"/>
      <c r="HC114" s="262"/>
      <c r="HD114" s="262"/>
      <c r="HE114" s="262"/>
      <c r="HF114" s="262"/>
      <c r="HG114" s="262"/>
      <c r="HH114" s="262"/>
      <c r="HI114" s="262"/>
      <c r="HJ114" s="262"/>
      <c r="HK114" s="262"/>
      <c r="HL114" s="262"/>
      <c r="HM114" s="262"/>
      <c r="HN114" s="262"/>
      <c r="HO114" s="262"/>
      <c r="HP114" s="262"/>
      <c r="HQ114" s="262"/>
      <c r="HR114" s="262"/>
      <c r="HS114" s="262"/>
      <c r="HT114" s="262"/>
      <c r="HU114" s="262"/>
      <c r="HV114" s="262"/>
      <c r="HW114" s="262"/>
      <c r="HX114" s="262"/>
      <c r="HY114" s="262"/>
      <c r="HZ114" s="262"/>
      <c r="IA114" s="262"/>
      <c r="IB114" s="262"/>
      <c r="IC114" s="262"/>
      <c r="ID114" s="262"/>
      <c r="IE114" s="262"/>
      <c r="IF114" s="262"/>
      <c r="IG114" s="262"/>
      <c r="IH114" s="262"/>
      <c r="II114" s="262"/>
      <c r="IJ114" s="262"/>
      <c r="IK114" s="262"/>
      <c r="IL114" s="262"/>
      <c r="IM114" s="262"/>
      <c r="IN114" s="262"/>
      <c r="IO114" s="262"/>
      <c r="IP114" s="262"/>
      <c r="IQ114" s="262"/>
      <c r="IR114" s="262"/>
      <c r="IS114" s="262"/>
      <c r="IT114" s="262"/>
      <c r="IU114" s="262"/>
      <c r="IV114" s="262"/>
      <c r="IW114" s="262"/>
      <c r="IX114" s="262"/>
      <c r="IY114" s="262"/>
      <c r="IZ114" s="262"/>
      <c r="JA114" s="262"/>
      <c r="JB114" s="262"/>
      <c r="JC114" s="262"/>
      <c r="JD114" s="262"/>
      <c r="JE114" s="262"/>
      <c r="JF114" s="262"/>
      <c r="JG114" s="262"/>
      <c r="JH114" s="262"/>
      <c r="JI114" s="262"/>
      <c r="JJ114" s="262"/>
      <c r="JK114" s="262"/>
      <c r="JL114" s="262"/>
      <c r="JM114" s="262"/>
      <c r="JN114" s="262"/>
      <c r="JO114" s="262"/>
      <c r="JP114" s="262"/>
      <c r="JQ114" s="262"/>
      <c r="JR114" s="262"/>
      <c r="JS114" s="262"/>
      <c r="JT114" s="262"/>
      <c r="JU114" s="262"/>
      <c r="JV114" s="262"/>
      <c r="JW114" s="262"/>
      <c r="JX114" s="262"/>
      <c r="JY114" s="262"/>
      <c r="JZ114" s="262"/>
      <c r="KA114" s="262"/>
      <c r="KB114" s="262"/>
      <c r="KC114" s="262"/>
      <c r="KD114" s="262"/>
      <c r="KE114" s="262"/>
      <c r="KF114" s="262"/>
      <c r="KG114" s="262"/>
      <c r="KH114" s="262"/>
      <c r="KI114" s="262"/>
      <c r="KJ114" s="262"/>
      <c r="KK114" s="262"/>
      <c r="KL114" s="262"/>
      <c r="KM114" s="262"/>
      <c r="KN114" s="262"/>
      <c r="KO114" s="262"/>
      <c r="KP114" s="262"/>
      <c r="KQ114" s="262"/>
      <c r="KR114" s="262"/>
      <c r="KS114" s="262"/>
      <c r="KT114" s="262"/>
      <c r="KU114" s="262"/>
      <c r="KV114" s="262"/>
      <c r="KW114" s="262"/>
      <c r="KX114" s="262"/>
      <c r="KY114" s="262"/>
      <c r="KZ114" s="262"/>
    </row>
    <row r="115" spans="1:312" s="85" customFormat="1" ht="50" customHeight="1">
      <c r="A115" s="263" t="s">
        <v>121</v>
      </c>
      <c r="B115" s="264"/>
      <c r="C115" s="86"/>
      <c r="D115" s="86"/>
      <c r="E115" s="60">
        <v>68</v>
      </c>
      <c r="F115" s="86" t="e">
        <f t="shared" si="2"/>
        <v>#DIV/0!</v>
      </c>
      <c r="G115" s="87">
        <v>2</v>
      </c>
      <c r="H115" s="87">
        <v>5</v>
      </c>
      <c r="I115" s="87"/>
      <c r="J115" s="87" t="s">
        <v>204</v>
      </c>
      <c r="K115" s="89" t="s">
        <v>720</v>
      </c>
      <c r="L115" s="94"/>
      <c r="M115" s="94"/>
      <c r="N115" s="91"/>
      <c r="O115" s="91" t="s">
        <v>335</v>
      </c>
      <c r="P115" s="92"/>
      <c r="Q115" s="95" t="s">
        <v>689</v>
      </c>
      <c r="R115" s="95" t="s">
        <v>689</v>
      </c>
      <c r="S115" s="60">
        <v>68</v>
      </c>
      <c r="T115" s="263">
        <f t="shared" si="3"/>
        <v>136</v>
      </c>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262"/>
      <c r="BT115" s="262"/>
      <c r="BU115" s="262"/>
      <c r="BV115" s="262"/>
      <c r="BW115" s="262"/>
      <c r="BX115" s="262"/>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2"/>
      <c r="CV115" s="262"/>
      <c r="CW115" s="262"/>
      <c r="CX115" s="262"/>
      <c r="CY115" s="262"/>
      <c r="CZ115" s="262"/>
      <c r="DA115" s="262"/>
      <c r="DB115" s="262"/>
      <c r="DC115" s="262"/>
      <c r="DD115" s="262"/>
      <c r="DE115" s="262"/>
      <c r="DF115" s="262"/>
      <c r="DG115" s="262"/>
      <c r="DH115" s="262"/>
      <c r="DI115" s="262"/>
      <c r="DJ115" s="262"/>
      <c r="DK115" s="262"/>
      <c r="DL115" s="262"/>
      <c r="DM115" s="262"/>
      <c r="DN115" s="262"/>
      <c r="DO115" s="262"/>
      <c r="DP115" s="262"/>
      <c r="DQ115" s="262"/>
      <c r="DR115" s="262"/>
      <c r="DS115" s="262"/>
      <c r="DT115" s="262"/>
      <c r="DU115" s="262"/>
      <c r="DV115" s="262"/>
      <c r="DW115" s="262"/>
      <c r="DX115" s="262"/>
      <c r="DY115" s="262"/>
      <c r="DZ115" s="262"/>
      <c r="EA115" s="262"/>
      <c r="EB115" s="262"/>
      <c r="EC115" s="262"/>
      <c r="ED115" s="262"/>
      <c r="EE115" s="262"/>
      <c r="EF115" s="262"/>
      <c r="EG115" s="262"/>
      <c r="EH115" s="262"/>
      <c r="EI115" s="262"/>
      <c r="EJ115" s="262"/>
      <c r="EK115" s="262"/>
      <c r="EL115" s="262"/>
      <c r="EM115" s="262"/>
      <c r="EN115" s="262"/>
      <c r="EO115" s="262"/>
      <c r="EP115" s="262"/>
      <c r="EQ115" s="262"/>
      <c r="ER115" s="262"/>
      <c r="ES115" s="262"/>
      <c r="ET115" s="262"/>
      <c r="EU115" s="262"/>
      <c r="EV115" s="262"/>
      <c r="EW115" s="262"/>
      <c r="EX115" s="262"/>
      <c r="EY115" s="262"/>
      <c r="EZ115" s="262"/>
      <c r="FA115" s="262"/>
      <c r="FB115" s="262"/>
      <c r="FC115" s="262"/>
      <c r="FD115" s="262"/>
      <c r="FE115" s="262"/>
      <c r="FF115" s="262"/>
      <c r="FG115" s="262"/>
      <c r="FH115" s="262"/>
      <c r="FI115" s="262"/>
      <c r="FJ115" s="262"/>
      <c r="FK115" s="262"/>
      <c r="FL115" s="262"/>
      <c r="FM115" s="262"/>
      <c r="FN115" s="262"/>
      <c r="FO115" s="262"/>
      <c r="FP115" s="262"/>
      <c r="FQ115" s="262"/>
      <c r="FR115" s="262"/>
      <c r="FS115" s="262"/>
      <c r="FT115" s="262"/>
      <c r="FU115" s="262"/>
      <c r="FV115" s="262"/>
      <c r="FW115" s="262"/>
      <c r="FX115" s="262"/>
      <c r="FY115" s="262"/>
      <c r="FZ115" s="262"/>
      <c r="GA115" s="262"/>
      <c r="GB115" s="262"/>
      <c r="GC115" s="262"/>
      <c r="GD115" s="262"/>
      <c r="GE115" s="262"/>
      <c r="GF115" s="262"/>
      <c r="GG115" s="262"/>
      <c r="GH115" s="262"/>
      <c r="GI115" s="262"/>
      <c r="GJ115" s="262"/>
      <c r="GK115" s="262"/>
      <c r="GL115" s="262"/>
      <c r="GM115" s="262"/>
      <c r="GN115" s="262"/>
      <c r="GO115" s="262"/>
      <c r="GP115" s="262"/>
      <c r="GQ115" s="262"/>
      <c r="GR115" s="262"/>
      <c r="GS115" s="262"/>
      <c r="GT115" s="262"/>
      <c r="GU115" s="262"/>
      <c r="GV115" s="262"/>
      <c r="GW115" s="262"/>
      <c r="GX115" s="262"/>
      <c r="GY115" s="262"/>
      <c r="GZ115" s="262"/>
      <c r="HA115" s="262"/>
      <c r="HB115" s="262"/>
      <c r="HC115" s="262"/>
      <c r="HD115" s="262"/>
      <c r="HE115" s="262"/>
      <c r="HF115" s="262"/>
      <c r="HG115" s="262"/>
      <c r="HH115" s="262"/>
      <c r="HI115" s="262"/>
      <c r="HJ115" s="262"/>
      <c r="HK115" s="262"/>
      <c r="HL115" s="262"/>
      <c r="HM115" s="262"/>
      <c r="HN115" s="262"/>
      <c r="HO115" s="262"/>
      <c r="HP115" s="262"/>
      <c r="HQ115" s="262"/>
      <c r="HR115" s="262"/>
      <c r="HS115" s="262"/>
      <c r="HT115" s="262"/>
      <c r="HU115" s="262"/>
      <c r="HV115" s="262"/>
      <c r="HW115" s="262"/>
      <c r="HX115" s="262"/>
      <c r="HY115" s="262"/>
      <c r="HZ115" s="262"/>
      <c r="IA115" s="262"/>
      <c r="IB115" s="262"/>
      <c r="IC115" s="262"/>
      <c r="ID115" s="262"/>
      <c r="IE115" s="262"/>
      <c r="IF115" s="262"/>
      <c r="IG115" s="262"/>
      <c r="IH115" s="262"/>
      <c r="II115" s="262"/>
      <c r="IJ115" s="262"/>
      <c r="IK115" s="262"/>
      <c r="IL115" s="262"/>
      <c r="IM115" s="262"/>
      <c r="IN115" s="262"/>
      <c r="IO115" s="262"/>
      <c r="IP115" s="262"/>
      <c r="IQ115" s="262"/>
      <c r="IR115" s="262"/>
      <c r="IS115" s="262"/>
      <c r="IT115" s="262"/>
      <c r="IU115" s="262"/>
      <c r="IV115" s="262"/>
      <c r="IW115" s="262"/>
      <c r="IX115" s="262"/>
      <c r="IY115" s="262"/>
      <c r="IZ115" s="262"/>
      <c r="JA115" s="262"/>
      <c r="JB115" s="262"/>
      <c r="JC115" s="262"/>
      <c r="JD115" s="262"/>
      <c r="JE115" s="262"/>
      <c r="JF115" s="262"/>
      <c r="JG115" s="262"/>
      <c r="JH115" s="262"/>
      <c r="JI115" s="262"/>
      <c r="JJ115" s="262"/>
      <c r="JK115" s="262"/>
      <c r="JL115" s="262"/>
      <c r="JM115" s="262"/>
      <c r="JN115" s="262"/>
      <c r="JO115" s="262"/>
      <c r="JP115" s="262"/>
      <c r="JQ115" s="262"/>
      <c r="JR115" s="262"/>
      <c r="JS115" s="262"/>
      <c r="JT115" s="262"/>
      <c r="JU115" s="262"/>
      <c r="JV115" s="262"/>
      <c r="JW115" s="262"/>
      <c r="JX115" s="262"/>
      <c r="JY115" s="262"/>
      <c r="JZ115" s="262"/>
      <c r="KA115" s="262"/>
      <c r="KB115" s="262"/>
      <c r="KC115" s="262"/>
      <c r="KD115" s="262"/>
      <c r="KE115" s="262"/>
      <c r="KF115" s="262"/>
      <c r="KG115" s="262"/>
      <c r="KH115" s="262"/>
      <c r="KI115" s="262"/>
      <c r="KJ115" s="262"/>
      <c r="KK115" s="262"/>
      <c r="KL115" s="262"/>
      <c r="KM115" s="262"/>
      <c r="KN115" s="262"/>
      <c r="KO115" s="262"/>
      <c r="KP115" s="262"/>
      <c r="KQ115" s="262"/>
      <c r="KR115" s="262"/>
      <c r="KS115" s="262"/>
      <c r="KT115" s="262"/>
      <c r="KU115" s="262"/>
      <c r="KV115" s="262"/>
      <c r="KW115" s="262"/>
      <c r="KX115" s="262"/>
      <c r="KY115" s="262"/>
      <c r="KZ115" s="262"/>
    </row>
    <row r="116" spans="1:312" s="85" customFormat="1" ht="50" customHeight="1">
      <c r="A116" s="263" t="s">
        <v>123</v>
      </c>
      <c r="B116" s="264"/>
      <c r="C116" s="86"/>
      <c r="D116" s="86"/>
      <c r="E116" s="60">
        <v>68</v>
      </c>
      <c r="F116" s="86" t="e">
        <f t="shared" si="2"/>
        <v>#DIV/0!</v>
      </c>
      <c r="G116" s="87">
        <v>2</v>
      </c>
      <c r="H116" s="87">
        <v>5</v>
      </c>
      <c r="I116" s="87"/>
      <c r="J116" s="87" t="s">
        <v>204</v>
      </c>
      <c r="K116" s="89" t="s">
        <v>721</v>
      </c>
      <c r="L116" s="94"/>
      <c r="M116" s="94"/>
      <c r="N116" s="91"/>
      <c r="O116" s="91" t="s">
        <v>335</v>
      </c>
      <c r="P116" s="92"/>
      <c r="Q116" s="95" t="s">
        <v>689</v>
      </c>
      <c r="R116" s="95" t="s">
        <v>689</v>
      </c>
      <c r="S116" s="60">
        <v>68</v>
      </c>
      <c r="T116" s="263">
        <f t="shared" si="3"/>
        <v>136</v>
      </c>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262"/>
      <c r="BT116" s="262"/>
      <c r="BU116" s="262"/>
      <c r="BV116" s="262"/>
      <c r="BW116" s="262"/>
      <c r="BX116" s="262"/>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2"/>
      <c r="CV116" s="262"/>
      <c r="CW116" s="262"/>
      <c r="CX116" s="262"/>
      <c r="CY116" s="262"/>
      <c r="CZ116" s="262"/>
      <c r="DA116" s="262"/>
      <c r="DB116" s="262"/>
      <c r="DC116" s="262"/>
      <c r="DD116" s="262"/>
      <c r="DE116" s="262"/>
      <c r="DF116" s="262"/>
      <c r="DG116" s="262"/>
      <c r="DH116" s="262"/>
      <c r="DI116" s="262"/>
      <c r="DJ116" s="262"/>
      <c r="DK116" s="262"/>
      <c r="DL116" s="262"/>
      <c r="DM116" s="262"/>
      <c r="DN116" s="262"/>
      <c r="DO116" s="262"/>
      <c r="DP116" s="262"/>
      <c r="DQ116" s="262"/>
      <c r="DR116" s="262"/>
      <c r="DS116" s="262"/>
      <c r="DT116" s="262"/>
      <c r="DU116" s="262"/>
      <c r="DV116" s="262"/>
      <c r="DW116" s="262"/>
      <c r="DX116" s="262"/>
      <c r="DY116" s="262"/>
      <c r="DZ116" s="262"/>
      <c r="EA116" s="262"/>
      <c r="EB116" s="262"/>
      <c r="EC116" s="262"/>
      <c r="ED116" s="262"/>
      <c r="EE116" s="262"/>
      <c r="EF116" s="262"/>
      <c r="EG116" s="262"/>
      <c r="EH116" s="262"/>
      <c r="EI116" s="262"/>
      <c r="EJ116" s="262"/>
      <c r="EK116" s="262"/>
      <c r="EL116" s="262"/>
      <c r="EM116" s="262"/>
      <c r="EN116" s="262"/>
      <c r="EO116" s="262"/>
      <c r="EP116" s="262"/>
      <c r="EQ116" s="262"/>
      <c r="ER116" s="262"/>
      <c r="ES116" s="262"/>
      <c r="ET116" s="262"/>
      <c r="EU116" s="262"/>
      <c r="EV116" s="262"/>
      <c r="EW116" s="262"/>
      <c r="EX116" s="262"/>
      <c r="EY116" s="262"/>
      <c r="EZ116" s="262"/>
      <c r="FA116" s="262"/>
      <c r="FB116" s="262"/>
      <c r="FC116" s="262"/>
      <c r="FD116" s="262"/>
      <c r="FE116" s="262"/>
      <c r="FF116" s="262"/>
      <c r="FG116" s="262"/>
      <c r="FH116" s="262"/>
      <c r="FI116" s="262"/>
      <c r="FJ116" s="262"/>
      <c r="FK116" s="262"/>
      <c r="FL116" s="262"/>
      <c r="FM116" s="262"/>
      <c r="FN116" s="262"/>
      <c r="FO116" s="262"/>
      <c r="FP116" s="262"/>
      <c r="FQ116" s="262"/>
      <c r="FR116" s="262"/>
      <c r="FS116" s="262"/>
      <c r="FT116" s="262"/>
      <c r="FU116" s="262"/>
      <c r="FV116" s="262"/>
      <c r="FW116" s="262"/>
      <c r="FX116" s="262"/>
      <c r="FY116" s="262"/>
      <c r="FZ116" s="262"/>
      <c r="GA116" s="262"/>
      <c r="GB116" s="262"/>
      <c r="GC116" s="262"/>
      <c r="GD116" s="262"/>
      <c r="GE116" s="262"/>
      <c r="GF116" s="262"/>
      <c r="GG116" s="262"/>
      <c r="GH116" s="262"/>
      <c r="GI116" s="262"/>
      <c r="GJ116" s="262"/>
      <c r="GK116" s="262"/>
      <c r="GL116" s="262"/>
      <c r="GM116" s="262"/>
      <c r="GN116" s="262"/>
      <c r="GO116" s="262"/>
      <c r="GP116" s="262"/>
      <c r="GQ116" s="262"/>
      <c r="GR116" s="262"/>
      <c r="GS116" s="262"/>
      <c r="GT116" s="262"/>
      <c r="GU116" s="262"/>
      <c r="GV116" s="262"/>
      <c r="GW116" s="262"/>
      <c r="GX116" s="262"/>
      <c r="GY116" s="262"/>
      <c r="GZ116" s="262"/>
      <c r="HA116" s="262"/>
      <c r="HB116" s="262"/>
      <c r="HC116" s="262"/>
      <c r="HD116" s="262"/>
      <c r="HE116" s="262"/>
      <c r="HF116" s="262"/>
      <c r="HG116" s="262"/>
      <c r="HH116" s="262"/>
      <c r="HI116" s="262"/>
      <c r="HJ116" s="262"/>
      <c r="HK116" s="262"/>
      <c r="HL116" s="262"/>
      <c r="HM116" s="262"/>
      <c r="HN116" s="262"/>
      <c r="HO116" s="262"/>
      <c r="HP116" s="262"/>
      <c r="HQ116" s="262"/>
      <c r="HR116" s="262"/>
      <c r="HS116" s="262"/>
      <c r="HT116" s="262"/>
      <c r="HU116" s="262"/>
      <c r="HV116" s="262"/>
      <c r="HW116" s="262"/>
      <c r="HX116" s="262"/>
      <c r="HY116" s="262"/>
      <c r="HZ116" s="262"/>
      <c r="IA116" s="262"/>
      <c r="IB116" s="262"/>
      <c r="IC116" s="262"/>
      <c r="ID116" s="262"/>
      <c r="IE116" s="262"/>
      <c r="IF116" s="262"/>
      <c r="IG116" s="262"/>
      <c r="IH116" s="262"/>
      <c r="II116" s="262"/>
      <c r="IJ116" s="262"/>
      <c r="IK116" s="262"/>
      <c r="IL116" s="262"/>
      <c r="IM116" s="262"/>
      <c r="IN116" s="262"/>
      <c r="IO116" s="262"/>
      <c r="IP116" s="262"/>
      <c r="IQ116" s="262"/>
      <c r="IR116" s="262"/>
      <c r="IS116" s="262"/>
      <c r="IT116" s="262"/>
      <c r="IU116" s="262"/>
      <c r="IV116" s="262"/>
      <c r="IW116" s="262"/>
      <c r="IX116" s="262"/>
      <c r="IY116" s="262"/>
      <c r="IZ116" s="262"/>
      <c r="JA116" s="262"/>
      <c r="JB116" s="262"/>
      <c r="JC116" s="262"/>
      <c r="JD116" s="262"/>
      <c r="JE116" s="262"/>
      <c r="JF116" s="262"/>
      <c r="JG116" s="262"/>
      <c r="JH116" s="262"/>
      <c r="JI116" s="262"/>
      <c r="JJ116" s="262"/>
      <c r="JK116" s="262"/>
      <c r="JL116" s="262"/>
      <c r="JM116" s="262"/>
      <c r="JN116" s="262"/>
      <c r="JO116" s="262"/>
      <c r="JP116" s="262"/>
      <c r="JQ116" s="262"/>
      <c r="JR116" s="262"/>
      <c r="JS116" s="262"/>
      <c r="JT116" s="262"/>
      <c r="JU116" s="262"/>
      <c r="JV116" s="262"/>
      <c r="JW116" s="262"/>
      <c r="JX116" s="262"/>
      <c r="JY116" s="262"/>
      <c r="JZ116" s="262"/>
      <c r="KA116" s="262"/>
      <c r="KB116" s="262"/>
      <c r="KC116" s="262"/>
      <c r="KD116" s="262"/>
      <c r="KE116" s="262"/>
      <c r="KF116" s="262"/>
      <c r="KG116" s="262"/>
      <c r="KH116" s="262"/>
      <c r="KI116" s="262"/>
      <c r="KJ116" s="262"/>
      <c r="KK116" s="262"/>
      <c r="KL116" s="262"/>
      <c r="KM116" s="262"/>
      <c r="KN116" s="262"/>
      <c r="KO116" s="262"/>
      <c r="KP116" s="262"/>
      <c r="KQ116" s="262"/>
      <c r="KR116" s="262"/>
      <c r="KS116" s="262"/>
      <c r="KT116" s="262"/>
      <c r="KU116" s="262"/>
      <c r="KV116" s="262"/>
      <c r="KW116" s="262"/>
      <c r="KX116" s="262"/>
      <c r="KY116" s="262"/>
      <c r="KZ116" s="262"/>
    </row>
    <row r="117" spans="1:312" s="109" customFormat="1" ht="50" customHeight="1">
      <c r="A117" s="263" t="s">
        <v>125</v>
      </c>
      <c r="B117" s="264"/>
      <c r="C117" s="86"/>
      <c r="D117" s="86"/>
      <c r="E117" s="60">
        <v>1503</v>
      </c>
      <c r="F117" s="86" t="e">
        <f t="shared" si="2"/>
        <v>#DIV/0!</v>
      </c>
      <c r="G117" s="87">
        <v>2</v>
      </c>
      <c r="H117" s="87">
        <v>5</v>
      </c>
      <c r="I117" s="87"/>
      <c r="J117" s="87" t="s">
        <v>204</v>
      </c>
      <c r="K117" s="89" t="s">
        <v>324</v>
      </c>
      <c r="L117" s="90" t="s">
        <v>689</v>
      </c>
      <c r="M117" s="94"/>
      <c r="N117" s="91"/>
      <c r="O117" s="91" t="s">
        <v>335</v>
      </c>
      <c r="P117" s="92"/>
      <c r="Q117" s="95" t="s">
        <v>689</v>
      </c>
      <c r="R117" s="95"/>
      <c r="S117" s="60">
        <v>1503</v>
      </c>
      <c r="T117" s="263">
        <f t="shared" si="3"/>
        <v>3006</v>
      </c>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262"/>
      <c r="BT117" s="262"/>
      <c r="BU117" s="262"/>
      <c r="BV117" s="262"/>
      <c r="BW117" s="262"/>
      <c r="BX117" s="262"/>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2"/>
      <c r="CV117" s="262"/>
      <c r="CW117" s="262"/>
      <c r="CX117" s="262"/>
      <c r="CY117" s="262"/>
      <c r="CZ117" s="262"/>
      <c r="DA117" s="262"/>
      <c r="DB117" s="262"/>
      <c r="DC117" s="262"/>
      <c r="DD117" s="262"/>
      <c r="DE117" s="262"/>
      <c r="DF117" s="262"/>
      <c r="DG117" s="262"/>
      <c r="DH117" s="262"/>
      <c r="DI117" s="262"/>
      <c r="DJ117" s="262"/>
      <c r="DK117" s="262"/>
      <c r="DL117" s="262"/>
      <c r="DM117" s="262"/>
      <c r="DN117" s="262"/>
      <c r="DO117" s="262"/>
      <c r="DP117" s="262"/>
      <c r="DQ117" s="262"/>
      <c r="DR117" s="262"/>
      <c r="DS117" s="262"/>
      <c r="DT117" s="262"/>
      <c r="DU117" s="262"/>
      <c r="DV117" s="262"/>
      <c r="DW117" s="262"/>
      <c r="DX117" s="262"/>
      <c r="DY117" s="262"/>
      <c r="DZ117" s="262"/>
      <c r="EA117" s="262"/>
      <c r="EB117" s="262"/>
      <c r="EC117" s="262"/>
      <c r="ED117" s="262"/>
      <c r="EE117" s="262"/>
      <c r="EF117" s="262"/>
      <c r="EG117" s="262"/>
      <c r="EH117" s="262"/>
      <c r="EI117" s="262"/>
      <c r="EJ117" s="262"/>
      <c r="EK117" s="262"/>
      <c r="EL117" s="262"/>
      <c r="EM117" s="262"/>
      <c r="EN117" s="262"/>
      <c r="EO117" s="262"/>
      <c r="EP117" s="262"/>
      <c r="EQ117" s="262"/>
      <c r="ER117" s="262"/>
      <c r="ES117" s="262"/>
      <c r="ET117" s="262"/>
      <c r="EU117" s="262"/>
      <c r="EV117" s="262"/>
      <c r="EW117" s="262"/>
      <c r="EX117" s="262"/>
      <c r="EY117" s="262"/>
      <c r="EZ117" s="262"/>
      <c r="FA117" s="262"/>
      <c r="FB117" s="262"/>
      <c r="FC117" s="262"/>
      <c r="FD117" s="262"/>
      <c r="FE117" s="262"/>
      <c r="FF117" s="262"/>
      <c r="FG117" s="262"/>
      <c r="FH117" s="262"/>
      <c r="FI117" s="262"/>
      <c r="FJ117" s="262"/>
      <c r="FK117" s="262"/>
      <c r="FL117" s="262"/>
      <c r="FM117" s="262"/>
      <c r="FN117" s="262"/>
      <c r="FO117" s="262"/>
      <c r="FP117" s="262"/>
      <c r="FQ117" s="262"/>
      <c r="FR117" s="262"/>
      <c r="FS117" s="262"/>
      <c r="FT117" s="262"/>
      <c r="FU117" s="262"/>
      <c r="FV117" s="262"/>
      <c r="FW117" s="262"/>
      <c r="FX117" s="262"/>
      <c r="FY117" s="262"/>
      <c r="FZ117" s="262"/>
      <c r="GA117" s="262"/>
      <c r="GB117" s="262"/>
      <c r="GC117" s="262"/>
      <c r="GD117" s="262"/>
      <c r="GE117" s="262"/>
      <c r="GF117" s="262"/>
      <c r="GG117" s="262"/>
      <c r="GH117" s="262"/>
      <c r="GI117" s="262"/>
      <c r="GJ117" s="262"/>
      <c r="GK117" s="262"/>
      <c r="GL117" s="262"/>
      <c r="GM117" s="262"/>
      <c r="GN117" s="262"/>
      <c r="GO117" s="262"/>
      <c r="GP117" s="262"/>
      <c r="GQ117" s="262"/>
      <c r="GR117" s="262"/>
      <c r="GS117" s="262"/>
      <c r="GT117" s="262"/>
      <c r="GU117" s="262"/>
      <c r="GV117" s="262"/>
      <c r="GW117" s="262"/>
      <c r="GX117" s="262"/>
      <c r="GY117" s="262"/>
      <c r="GZ117" s="262"/>
      <c r="HA117" s="262"/>
      <c r="HB117" s="262"/>
      <c r="HC117" s="262"/>
      <c r="HD117" s="262"/>
      <c r="HE117" s="262"/>
      <c r="HF117" s="262"/>
      <c r="HG117" s="262"/>
      <c r="HH117" s="262"/>
      <c r="HI117" s="262"/>
      <c r="HJ117" s="262"/>
      <c r="HK117" s="262"/>
      <c r="HL117" s="262"/>
      <c r="HM117" s="262"/>
      <c r="HN117" s="262"/>
      <c r="HO117" s="262"/>
      <c r="HP117" s="262"/>
      <c r="HQ117" s="262"/>
      <c r="HR117" s="262"/>
      <c r="HS117" s="262"/>
      <c r="HT117" s="262"/>
      <c r="HU117" s="262"/>
      <c r="HV117" s="262"/>
      <c r="HW117" s="262"/>
      <c r="HX117" s="262"/>
      <c r="HY117" s="262"/>
      <c r="HZ117" s="262"/>
      <c r="IA117" s="262"/>
      <c r="IB117" s="262"/>
      <c r="IC117" s="262"/>
      <c r="ID117" s="262"/>
      <c r="IE117" s="262"/>
      <c r="IF117" s="262"/>
      <c r="IG117" s="262"/>
      <c r="IH117" s="262"/>
      <c r="II117" s="262"/>
      <c r="IJ117" s="262"/>
      <c r="IK117" s="262"/>
      <c r="IL117" s="262"/>
      <c r="IM117" s="262"/>
      <c r="IN117" s="262"/>
      <c r="IO117" s="262"/>
      <c r="IP117" s="262"/>
      <c r="IQ117" s="262"/>
      <c r="IR117" s="262"/>
      <c r="IS117" s="262"/>
      <c r="IT117" s="262"/>
      <c r="IU117" s="262"/>
      <c r="IV117" s="262"/>
      <c r="IW117" s="262"/>
      <c r="IX117" s="262"/>
      <c r="IY117" s="262"/>
      <c r="IZ117" s="262"/>
      <c r="JA117" s="262"/>
      <c r="JB117" s="262"/>
      <c r="JC117" s="262"/>
      <c r="JD117" s="262"/>
      <c r="JE117" s="262"/>
      <c r="JF117" s="262"/>
      <c r="JG117" s="262"/>
      <c r="JH117" s="262"/>
      <c r="JI117" s="262"/>
      <c r="JJ117" s="262"/>
      <c r="JK117" s="262"/>
      <c r="JL117" s="262"/>
      <c r="JM117" s="262"/>
      <c r="JN117" s="262"/>
      <c r="JO117" s="262"/>
      <c r="JP117" s="262"/>
      <c r="JQ117" s="262"/>
      <c r="JR117" s="262"/>
      <c r="JS117" s="262"/>
      <c r="JT117" s="262"/>
      <c r="JU117" s="262"/>
      <c r="JV117" s="262"/>
      <c r="JW117" s="262"/>
      <c r="JX117" s="262"/>
      <c r="JY117" s="262"/>
      <c r="JZ117" s="262"/>
      <c r="KA117" s="262"/>
      <c r="KB117" s="262"/>
      <c r="KC117" s="262"/>
      <c r="KD117" s="262"/>
      <c r="KE117" s="262"/>
      <c r="KF117" s="262"/>
      <c r="KG117" s="262"/>
      <c r="KH117" s="262"/>
      <c r="KI117" s="262"/>
      <c r="KJ117" s="262"/>
      <c r="KK117" s="262"/>
      <c r="KL117" s="262"/>
      <c r="KM117" s="262"/>
      <c r="KN117" s="262"/>
      <c r="KO117" s="262"/>
      <c r="KP117" s="262"/>
      <c r="KQ117" s="262"/>
      <c r="KR117" s="262"/>
      <c r="KS117" s="262"/>
      <c r="KT117" s="262"/>
      <c r="KU117" s="262"/>
      <c r="KV117" s="262"/>
      <c r="KW117" s="262"/>
      <c r="KX117" s="262"/>
      <c r="KY117" s="262"/>
      <c r="KZ117" s="262"/>
    </row>
    <row r="118" spans="1:312" s="85" customFormat="1" ht="50" customHeight="1">
      <c r="A118" s="263" t="s">
        <v>130</v>
      </c>
      <c r="B118" s="264">
        <v>221883</v>
      </c>
      <c r="C118" s="86"/>
      <c r="D118" s="86"/>
      <c r="E118" s="60">
        <v>68</v>
      </c>
      <c r="F118" s="86" t="e">
        <f t="shared" si="2"/>
        <v>#DIV/0!</v>
      </c>
      <c r="G118" s="87">
        <v>2</v>
      </c>
      <c r="H118" s="87">
        <v>5</v>
      </c>
      <c r="I118" s="87"/>
      <c r="J118" s="87" t="s">
        <v>204</v>
      </c>
      <c r="K118" s="89" t="s">
        <v>722</v>
      </c>
      <c r="L118" s="94"/>
      <c r="M118" s="94"/>
      <c r="N118" s="91"/>
      <c r="O118" s="91" t="s">
        <v>335</v>
      </c>
      <c r="P118" s="92"/>
      <c r="Q118" s="95" t="s">
        <v>689</v>
      </c>
      <c r="R118" s="95" t="s">
        <v>689</v>
      </c>
      <c r="S118" s="60">
        <v>68</v>
      </c>
      <c r="T118" s="263">
        <f t="shared" si="3"/>
        <v>136</v>
      </c>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262"/>
      <c r="BT118" s="262"/>
      <c r="BU118" s="262"/>
      <c r="BV118" s="262"/>
      <c r="BW118" s="262"/>
      <c r="BX118" s="262"/>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2"/>
      <c r="CV118" s="262"/>
      <c r="CW118" s="262"/>
      <c r="CX118" s="262"/>
      <c r="CY118" s="262"/>
      <c r="CZ118" s="262"/>
      <c r="DA118" s="262"/>
      <c r="DB118" s="262"/>
      <c r="DC118" s="262"/>
      <c r="DD118" s="262"/>
      <c r="DE118" s="262"/>
      <c r="DF118" s="262"/>
      <c r="DG118" s="262"/>
      <c r="DH118" s="262"/>
      <c r="DI118" s="262"/>
      <c r="DJ118" s="262"/>
      <c r="DK118" s="262"/>
      <c r="DL118" s="262"/>
      <c r="DM118" s="262"/>
      <c r="DN118" s="262"/>
      <c r="DO118" s="262"/>
      <c r="DP118" s="262"/>
      <c r="DQ118" s="262"/>
      <c r="DR118" s="262"/>
      <c r="DS118" s="262"/>
      <c r="DT118" s="262"/>
      <c r="DU118" s="262"/>
      <c r="DV118" s="262"/>
      <c r="DW118" s="262"/>
      <c r="DX118" s="262"/>
      <c r="DY118" s="262"/>
      <c r="DZ118" s="262"/>
      <c r="EA118" s="262"/>
      <c r="EB118" s="262"/>
      <c r="EC118" s="262"/>
      <c r="ED118" s="262"/>
      <c r="EE118" s="262"/>
      <c r="EF118" s="262"/>
      <c r="EG118" s="262"/>
      <c r="EH118" s="262"/>
      <c r="EI118" s="262"/>
      <c r="EJ118" s="262"/>
      <c r="EK118" s="262"/>
      <c r="EL118" s="262"/>
      <c r="EM118" s="262"/>
      <c r="EN118" s="262"/>
      <c r="EO118" s="262"/>
      <c r="EP118" s="262"/>
      <c r="EQ118" s="262"/>
      <c r="ER118" s="262"/>
      <c r="ES118" s="262"/>
      <c r="ET118" s="262"/>
      <c r="EU118" s="262"/>
      <c r="EV118" s="262"/>
      <c r="EW118" s="262"/>
      <c r="EX118" s="262"/>
      <c r="EY118" s="262"/>
      <c r="EZ118" s="262"/>
      <c r="FA118" s="262"/>
      <c r="FB118" s="262"/>
      <c r="FC118" s="262"/>
      <c r="FD118" s="262"/>
      <c r="FE118" s="262"/>
      <c r="FF118" s="262"/>
      <c r="FG118" s="262"/>
      <c r="FH118" s="262"/>
      <c r="FI118" s="262"/>
      <c r="FJ118" s="262"/>
      <c r="FK118" s="262"/>
      <c r="FL118" s="262"/>
      <c r="FM118" s="262"/>
      <c r="FN118" s="262"/>
      <c r="FO118" s="262"/>
      <c r="FP118" s="262"/>
      <c r="FQ118" s="262"/>
      <c r="FR118" s="262"/>
      <c r="FS118" s="262"/>
      <c r="FT118" s="262"/>
      <c r="FU118" s="262"/>
      <c r="FV118" s="262"/>
      <c r="FW118" s="262"/>
      <c r="FX118" s="262"/>
      <c r="FY118" s="262"/>
      <c r="FZ118" s="262"/>
      <c r="GA118" s="262"/>
      <c r="GB118" s="262"/>
      <c r="GC118" s="262"/>
      <c r="GD118" s="262"/>
      <c r="GE118" s="262"/>
      <c r="GF118" s="262"/>
      <c r="GG118" s="262"/>
      <c r="GH118" s="262"/>
      <c r="GI118" s="262"/>
      <c r="GJ118" s="262"/>
      <c r="GK118" s="262"/>
      <c r="GL118" s="262"/>
      <c r="GM118" s="262"/>
      <c r="GN118" s="262"/>
      <c r="GO118" s="262"/>
      <c r="GP118" s="262"/>
      <c r="GQ118" s="262"/>
      <c r="GR118" s="262"/>
      <c r="GS118" s="262"/>
      <c r="GT118" s="262"/>
      <c r="GU118" s="262"/>
      <c r="GV118" s="262"/>
      <c r="GW118" s="262"/>
      <c r="GX118" s="262"/>
      <c r="GY118" s="262"/>
      <c r="GZ118" s="262"/>
      <c r="HA118" s="262"/>
      <c r="HB118" s="262"/>
      <c r="HC118" s="262"/>
      <c r="HD118" s="262"/>
      <c r="HE118" s="262"/>
      <c r="HF118" s="262"/>
      <c r="HG118" s="262"/>
      <c r="HH118" s="262"/>
      <c r="HI118" s="262"/>
      <c r="HJ118" s="262"/>
      <c r="HK118" s="262"/>
      <c r="HL118" s="262"/>
      <c r="HM118" s="262"/>
      <c r="HN118" s="262"/>
      <c r="HO118" s="262"/>
      <c r="HP118" s="262"/>
      <c r="HQ118" s="262"/>
      <c r="HR118" s="262"/>
      <c r="HS118" s="262"/>
      <c r="HT118" s="262"/>
      <c r="HU118" s="262"/>
      <c r="HV118" s="262"/>
      <c r="HW118" s="262"/>
      <c r="HX118" s="262"/>
      <c r="HY118" s="262"/>
      <c r="HZ118" s="262"/>
      <c r="IA118" s="262"/>
      <c r="IB118" s="262"/>
      <c r="IC118" s="262"/>
      <c r="ID118" s="262"/>
      <c r="IE118" s="262"/>
      <c r="IF118" s="262"/>
      <c r="IG118" s="262"/>
      <c r="IH118" s="262"/>
      <c r="II118" s="262"/>
      <c r="IJ118" s="262"/>
      <c r="IK118" s="262"/>
      <c r="IL118" s="262"/>
      <c r="IM118" s="262"/>
      <c r="IN118" s="262"/>
      <c r="IO118" s="262"/>
      <c r="IP118" s="262"/>
      <c r="IQ118" s="262"/>
      <c r="IR118" s="262"/>
      <c r="IS118" s="262"/>
      <c r="IT118" s="262"/>
      <c r="IU118" s="262"/>
      <c r="IV118" s="262"/>
      <c r="IW118" s="262"/>
      <c r="IX118" s="262"/>
      <c r="IY118" s="262"/>
      <c r="IZ118" s="262"/>
      <c r="JA118" s="262"/>
      <c r="JB118" s="262"/>
      <c r="JC118" s="262"/>
      <c r="JD118" s="262"/>
      <c r="JE118" s="262"/>
      <c r="JF118" s="262"/>
      <c r="JG118" s="262"/>
      <c r="JH118" s="262"/>
      <c r="JI118" s="262"/>
      <c r="JJ118" s="262"/>
      <c r="JK118" s="262"/>
      <c r="JL118" s="262"/>
      <c r="JM118" s="262"/>
      <c r="JN118" s="262"/>
      <c r="JO118" s="262"/>
      <c r="JP118" s="262"/>
      <c r="JQ118" s="262"/>
      <c r="JR118" s="262"/>
      <c r="JS118" s="262"/>
      <c r="JT118" s="262"/>
      <c r="JU118" s="262"/>
      <c r="JV118" s="262"/>
      <c r="JW118" s="262"/>
      <c r="JX118" s="262"/>
      <c r="JY118" s="262"/>
      <c r="JZ118" s="262"/>
      <c r="KA118" s="262"/>
      <c r="KB118" s="262"/>
      <c r="KC118" s="262"/>
      <c r="KD118" s="262"/>
      <c r="KE118" s="262"/>
      <c r="KF118" s="262"/>
      <c r="KG118" s="262"/>
      <c r="KH118" s="262"/>
      <c r="KI118" s="262"/>
      <c r="KJ118" s="262"/>
      <c r="KK118" s="262"/>
      <c r="KL118" s="262"/>
      <c r="KM118" s="262"/>
      <c r="KN118" s="262"/>
      <c r="KO118" s="262"/>
      <c r="KP118" s="262"/>
      <c r="KQ118" s="262"/>
      <c r="KR118" s="262"/>
      <c r="KS118" s="262"/>
      <c r="KT118" s="262"/>
      <c r="KU118" s="262"/>
      <c r="KV118" s="262"/>
      <c r="KW118" s="262"/>
      <c r="KX118" s="262"/>
      <c r="KY118" s="262"/>
      <c r="KZ118" s="262"/>
    </row>
    <row r="119" spans="1:312" s="85" customFormat="1" ht="50" customHeight="1">
      <c r="A119" s="263" t="s">
        <v>353</v>
      </c>
      <c r="B119" s="264"/>
      <c r="C119" s="86"/>
      <c r="D119" s="86"/>
      <c r="E119" s="60">
        <v>1503</v>
      </c>
      <c r="F119" s="86" t="e">
        <f t="shared" si="2"/>
        <v>#DIV/0!</v>
      </c>
      <c r="G119" s="87">
        <v>2</v>
      </c>
      <c r="H119" s="87">
        <v>5</v>
      </c>
      <c r="I119" s="87"/>
      <c r="J119" s="87" t="s">
        <v>204</v>
      </c>
      <c r="K119" s="89" t="s">
        <v>723</v>
      </c>
      <c r="L119" s="90" t="s">
        <v>335</v>
      </c>
      <c r="M119" s="94"/>
      <c r="N119" s="91"/>
      <c r="O119" s="91" t="s">
        <v>335</v>
      </c>
      <c r="P119" s="92"/>
      <c r="Q119" s="95" t="s">
        <v>689</v>
      </c>
      <c r="R119" s="95" t="s">
        <v>689</v>
      </c>
      <c r="S119" s="60">
        <v>1503</v>
      </c>
      <c r="T119" s="263">
        <f t="shared" si="3"/>
        <v>3006</v>
      </c>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262"/>
      <c r="BT119" s="262"/>
      <c r="BU119" s="262"/>
      <c r="BV119" s="262"/>
      <c r="BW119" s="262"/>
      <c r="BX119" s="262"/>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2"/>
      <c r="CV119" s="262"/>
      <c r="CW119" s="262"/>
      <c r="CX119" s="262"/>
      <c r="CY119" s="262"/>
      <c r="CZ119" s="262"/>
      <c r="DA119" s="262"/>
      <c r="DB119" s="262"/>
      <c r="DC119" s="262"/>
      <c r="DD119" s="262"/>
      <c r="DE119" s="262"/>
      <c r="DF119" s="262"/>
      <c r="DG119" s="262"/>
      <c r="DH119" s="262"/>
      <c r="DI119" s="262"/>
      <c r="DJ119" s="262"/>
      <c r="DK119" s="262"/>
      <c r="DL119" s="262"/>
      <c r="DM119" s="262"/>
      <c r="DN119" s="262"/>
      <c r="DO119" s="262"/>
      <c r="DP119" s="262"/>
      <c r="DQ119" s="262"/>
      <c r="DR119" s="262"/>
      <c r="DS119" s="262"/>
      <c r="DT119" s="262"/>
      <c r="DU119" s="262"/>
      <c r="DV119" s="262"/>
      <c r="DW119" s="262"/>
      <c r="DX119" s="262"/>
      <c r="DY119" s="262"/>
      <c r="DZ119" s="262"/>
      <c r="EA119" s="262"/>
      <c r="EB119" s="262"/>
      <c r="EC119" s="262"/>
      <c r="ED119" s="262"/>
      <c r="EE119" s="262"/>
      <c r="EF119" s="262"/>
      <c r="EG119" s="262"/>
      <c r="EH119" s="262"/>
      <c r="EI119" s="262"/>
      <c r="EJ119" s="262"/>
      <c r="EK119" s="262"/>
      <c r="EL119" s="262"/>
      <c r="EM119" s="262"/>
      <c r="EN119" s="262"/>
      <c r="EO119" s="262"/>
      <c r="EP119" s="262"/>
      <c r="EQ119" s="262"/>
      <c r="ER119" s="262"/>
      <c r="ES119" s="262"/>
      <c r="ET119" s="262"/>
      <c r="EU119" s="262"/>
      <c r="EV119" s="262"/>
      <c r="EW119" s="262"/>
      <c r="EX119" s="262"/>
      <c r="EY119" s="262"/>
      <c r="EZ119" s="262"/>
      <c r="FA119" s="262"/>
      <c r="FB119" s="262"/>
      <c r="FC119" s="262"/>
      <c r="FD119" s="262"/>
      <c r="FE119" s="262"/>
      <c r="FF119" s="262"/>
      <c r="FG119" s="262"/>
      <c r="FH119" s="262"/>
      <c r="FI119" s="262"/>
      <c r="FJ119" s="262"/>
      <c r="FK119" s="262"/>
      <c r="FL119" s="262"/>
      <c r="FM119" s="262"/>
      <c r="FN119" s="262"/>
      <c r="FO119" s="262"/>
      <c r="FP119" s="262"/>
      <c r="FQ119" s="262"/>
      <c r="FR119" s="262"/>
      <c r="FS119" s="262"/>
      <c r="FT119" s="262"/>
      <c r="FU119" s="262"/>
      <c r="FV119" s="262"/>
      <c r="FW119" s="262"/>
      <c r="FX119" s="262"/>
      <c r="FY119" s="262"/>
      <c r="FZ119" s="262"/>
      <c r="GA119" s="262"/>
      <c r="GB119" s="262"/>
      <c r="GC119" s="262"/>
      <c r="GD119" s="262"/>
      <c r="GE119" s="262"/>
      <c r="GF119" s="262"/>
      <c r="GG119" s="262"/>
      <c r="GH119" s="262"/>
      <c r="GI119" s="262"/>
      <c r="GJ119" s="262"/>
      <c r="GK119" s="262"/>
      <c r="GL119" s="262"/>
      <c r="GM119" s="262"/>
      <c r="GN119" s="262"/>
      <c r="GO119" s="262"/>
      <c r="GP119" s="262"/>
      <c r="GQ119" s="262"/>
      <c r="GR119" s="262"/>
      <c r="GS119" s="262"/>
      <c r="GT119" s="262"/>
      <c r="GU119" s="262"/>
      <c r="GV119" s="262"/>
      <c r="GW119" s="262"/>
      <c r="GX119" s="262"/>
      <c r="GY119" s="262"/>
      <c r="GZ119" s="262"/>
      <c r="HA119" s="262"/>
      <c r="HB119" s="262"/>
      <c r="HC119" s="262"/>
      <c r="HD119" s="262"/>
      <c r="HE119" s="262"/>
      <c r="HF119" s="262"/>
      <c r="HG119" s="262"/>
      <c r="HH119" s="262"/>
      <c r="HI119" s="262"/>
      <c r="HJ119" s="262"/>
      <c r="HK119" s="262"/>
      <c r="HL119" s="262"/>
      <c r="HM119" s="262"/>
      <c r="HN119" s="262"/>
      <c r="HO119" s="262"/>
      <c r="HP119" s="262"/>
      <c r="HQ119" s="262"/>
      <c r="HR119" s="262"/>
      <c r="HS119" s="262"/>
      <c r="HT119" s="262"/>
      <c r="HU119" s="262"/>
      <c r="HV119" s="262"/>
      <c r="HW119" s="262"/>
      <c r="HX119" s="262"/>
      <c r="HY119" s="262"/>
      <c r="HZ119" s="262"/>
      <c r="IA119" s="262"/>
      <c r="IB119" s="262"/>
      <c r="IC119" s="262"/>
      <c r="ID119" s="262"/>
      <c r="IE119" s="262"/>
      <c r="IF119" s="262"/>
      <c r="IG119" s="262"/>
      <c r="IH119" s="262"/>
      <c r="II119" s="262"/>
      <c r="IJ119" s="262"/>
      <c r="IK119" s="262"/>
      <c r="IL119" s="262"/>
      <c r="IM119" s="262"/>
      <c r="IN119" s="262"/>
      <c r="IO119" s="262"/>
      <c r="IP119" s="262"/>
      <c r="IQ119" s="262"/>
      <c r="IR119" s="262"/>
      <c r="IS119" s="262"/>
      <c r="IT119" s="262"/>
      <c r="IU119" s="262"/>
      <c r="IV119" s="262"/>
      <c r="IW119" s="262"/>
      <c r="IX119" s="262"/>
      <c r="IY119" s="262"/>
      <c r="IZ119" s="262"/>
      <c r="JA119" s="262"/>
      <c r="JB119" s="262"/>
      <c r="JC119" s="262"/>
      <c r="JD119" s="262"/>
      <c r="JE119" s="262"/>
      <c r="JF119" s="262"/>
      <c r="JG119" s="262"/>
      <c r="JH119" s="262"/>
      <c r="JI119" s="262"/>
      <c r="JJ119" s="262"/>
      <c r="JK119" s="262"/>
      <c r="JL119" s="262"/>
      <c r="JM119" s="262"/>
      <c r="JN119" s="262"/>
      <c r="JO119" s="262"/>
      <c r="JP119" s="262"/>
      <c r="JQ119" s="262"/>
      <c r="JR119" s="262"/>
      <c r="JS119" s="262"/>
      <c r="JT119" s="262"/>
      <c r="JU119" s="262"/>
      <c r="JV119" s="262"/>
      <c r="JW119" s="262"/>
      <c r="JX119" s="262"/>
      <c r="JY119" s="262"/>
      <c r="JZ119" s="262"/>
      <c r="KA119" s="262"/>
      <c r="KB119" s="262"/>
      <c r="KC119" s="262"/>
      <c r="KD119" s="262"/>
      <c r="KE119" s="262"/>
      <c r="KF119" s="262"/>
      <c r="KG119" s="262"/>
      <c r="KH119" s="262"/>
      <c r="KI119" s="262"/>
      <c r="KJ119" s="262"/>
      <c r="KK119" s="262"/>
      <c r="KL119" s="262"/>
      <c r="KM119" s="262"/>
      <c r="KN119" s="262"/>
      <c r="KO119" s="262"/>
      <c r="KP119" s="262"/>
      <c r="KQ119" s="262"/>
      <c r="KR119" s="262"/>
      <c r="KS119" s="262"/>
      <c r="KT119" s="262"/>
      <c r="KU119" s="262"/>
      <c r="KV119" s="262"/>
      <c r="KW119" s="262"/>
      <c r="KX119" s="262"/>
      <c r="KY119" s="262"/>
      <c r="KZ119" s="262"/>
    </row>
    <row r="120" spans="1:312" s="85" customFormat="1" ht="50" customHeight="1">
      <c r="A120" s="263" t="s">
        <v>160</v>
      </c>
      <c r="B120" s="264"/>
      <c r="C120" s="86"/>
      <c r="D120" s="86"/>
      <c r="E120" s="60">
        <v>184</v>
      </c>
      <c r="F120" s="86" t="e">
        <f t="shared" si="2"/>
        <v>#DIV/0!</v>
      </c>
      <c r="G120" s="87">
        <v>2</v>
      </c>
      <c r="H120" s="87">
        <v>5</v>
      </c>
      <c r="I120" s="87"/>
      <c r="J120" s="87" t="s">
        <v>204</v>
      </c>
      <c r="K120" s="89" t="s">
        <v>724</v>
      </c>
      <c r="L120" s="94"/>
      <c r="M120" s="90" t="s">
        <v>689</v>
      </c>
      <c r="N120" s="91"/>
      <c r="O120" s="91" t="s">
        <v>335</v>
      </c>
      <c r="P120" s="92"/>
      <c r="Q120" s="95" t="s">
        <v>689</v>
      </c>
      <c r="R120" s="95" t="s">
        <v>689</v>
      </c>
      <c r="S120" s="60">
        <v>184</v>
      </c>
      <c r="T120" s="263">
        <f t="shared" si="3"/>
        <v>368</v>
      </c>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262"/>
      <c r="BT120" s="262"/>
      <c r="BU120" s="262"/>
      <c r="BV120" s="262"/>
      <c r="BW120" s="262"/>
      <c r="BX120" s="262"/>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2"/>
      <c r="CV120" s="262"/>
      <c r="CW120" s="262"/>
      <c r="CX120" s="262"/>
      <c r="CY120" s="262"/>
      <c r="CZ120" s="262"/>
      <c r="DA120" s="262"/>
      <c r="DB120" s="262"/>
      <c r="DC120" s="262"/>
      <c r="DD120" s="262"/>
      <c r="DE120" s="262"/>
      <c r="DF120" s="262"/>
      <c r="DG120" s="262"/>
      <c r="DH120" s="262"/>
      <c r="DI120" s="262"/>
      <c r="DJ120" s="262"/>
      <c r="DK120" s="262"/>
      <c r="DL120" s="262"/>
      <c r="DM120" s="262"/>
      <c r="DN120" s="262"/>
      <c r="DO120" s="262"/>
      <c r="DP120" s="262"/>
      <c r="DQ120" s="262"/>
      <c r="DR120" s="262"/>
      <c r="DS120" s="262"/>
      <c r="DT120" s="262"/>
      <c r="DU120" s="262"/>
      <c r="DV120" s="262"/>
      <c r="DW120" s="262"/>
      <c r="DX120" s="262"/>
      <c r="DY120" s="262"/>
      <c r="DZ120" s="262"/>
      <c r="EA120" s="262"/>
      <c r="EB120" s="262"/>
      <c r="EC120" s="262"/>
      <c r="ED120" s="262"/>
      <c r="EE120" s="262"/>
      <c r="EF120" s="262"/>
      <c r="EG120" s="262"/>
      <c r="EH120" s="262"/>
      <c r="EI120" s="262"/>
      <c r="EJ120" s="262"/>
      <c r="EK120" s="262"/>
      <c r="EL120" s="262"/>
      <c r="EM120" s="262"/>
      <c r="EN120" s="262"/>
      <c r="EO120" s="262"/>
      <c r="EP120" s="262"/>
      <c r="EQ120" s="262"/>
      <c r="ER120" s="262"/>
      <c r="ES120" s="262"/>
      <c r="ET120" s="262"/>
      <c r="EU120" s="262"/>
      <c r="EV120" s="262"/>
      <c r="EW120" s="262"/>
      <c r="EX120" s="262"/>
      <c r="EY120" s="262"/>
      <c r="EZ120" s="262"/>
      <c r="FA120" s="262"/>
      <c r="FB120" s="262"/>
      <c r="FC120" s="262"/>
      <c r="FD120" s="262"/>
      <c r="FE120" s="262"/>
      <c r="FF120" s="262"/>
      <c r="FG120" s="262"/>
      <c r="FH120" s="262"/>
      <c r="FI120" s="262"/>
      <c r="FJ120" s="262"/>
      <c r="FK120" s="262"/>
      <c r="FL120" s="262"/>
      <c r="FM120" s="262"/>
      <c r="FN120" s="262"/>
      <c r="FO120" s="262"/>
      <c r="FP120" s="262"/>
      <c r="FQ120" s="262"/>
      <c r="FR120" s="262"/>
      <c r="FS120" s="262"/>
      <c r="FT120" s="262"/>
      <c r="FU120" s="262"/>
      <c r="FV120" s="262"/>
      <c r="FW120" s="262"/>
      <c r="FX120" s="262"/>
      <c r="FY120" s="262"/>
      <c r="FZ120" s="262"/>
      <c r="GA120" s="262"/>
      <c r="GB120" s="262"/>
      <c r="GC120" s="262"/>
      <c r="GD120" s="262"/>
      <c r="GE120" s="262"/>
      <c r="GF120" s="262"/>
      <c r="GG120" s="262"/>
      <c r="GH120" s="262"/>
      <c r="GI120" s="262"/>
      <c r="GJ120" s="262"/>
      <c r="GK120" s="262"/>
      <c r="GL120" s="262"/>
      <c r="GM120" s="262"/>
      <c r="GN120" s="262"/>
      <c r="GO120" s="262"/>
      <c r="GP120" s="262"/>
      <c r="GQ120" s="262"/>
      <c r="GR120" s="262"/>
      <c r="GS120" s="262"/>
      <c r="GT120" s="262"/>
      <c r="GU120" s="262"/>
      <c r="GV120" s="262"/>
      <c r="GW120" s="262"/>
      <c r="GX120" s="262"/>
      <c r="GY120" s="262"/>
      <c r="GZ120" s="262"/>
      <c r="HA120" s="262"/>
      <c r="HB120" s="262"/>
      <c r="HC120" s="262"/>
      <c r="HD120" s="262"/>
      <c r="HE120" s="262"/>
      <c r="HF120" s="262"/>
      <c r="HG120" s="262"/>
      <c r="HH120" s="262"/>
      <c r="HI120" s="262"/>
      <c r="HJ120" s="262"/>
      <c r="HK120" s="262"/>
      <c r="HL120" s="262"/>
      <c r="HM120" s="262"/>
      <c r="HN120" s="262"/>
      <c r="HO120" s="262"/>
      <c r="HP120" s="262"/>
      <c r="HQ120" s="262"/>
      <c r="HR120" s="262"/>
      <c r="HS120" s="262"/>
      <c r="HT120" s="262"/>
      <c r="HU120" s="262"/>
      <c r="HV120" s="262"/>
      <c r="HW120" s="262"/>
      <c r="HX120" s="262"/>
      <c r="HY120" s="262"/>
      <c r="HZ120" s="262"/>
      <c r="IA120" s="262"/>
      <c r="IB120" s="262"/>
      <c r="IC120" s="262"/>
      <c r="ID120" s="262"/>
      <c r="IE120" s="262"/>
      <c r="IF120" s="262"/>
      <c r="IG120" s="262"/>
      <c r="IH120" s="262"/>
      <c r="II120" s="262"/>
      <c r="IJ120" s="262"/>
      <c r="IK120" s="262"/>
      <c r="IL120" s="262"/>
      <c r="IM120" s="262"/>
      <c r="IN120" s="262"/>
      <c r="IO120" s="262"/>
      <c r="IP120" s="262"/>
      <c r="IQ120" s="262"/>
      <c r="IR120" s="262"/>
      <c r="IS120" s="262"/>
      <c r="IT120" s="262"/>
      <c r="IU120" s="262"/>
      <c r="IV120" s="262"/>
      <c r="IW120" s="262"/>
      <c r="IX120" s="262"/>
      <c r="IY120" s="262"/>
      <c r="IZ120" s="262"/>
      <c r="JA120" s="262"/>
      <c r="JB120" s="262"/>
      <c r="JC120" s="262"/>
      <c r="JD120" s="262"/>
      <c r="JE120" s="262"/>
      <c r="JF120" s="262"/>
      <c r="JG120" s="262"/>
      <c r="JH120" s="262"/>
      <c r="JI120" s="262"/>
      <c r="JJ120" s="262"/>
      <c r="JK120" s="262"/>
      <c r="JL120" s="262"/>
      <c r="JM120" s="262"/>
      <c r="JN120" s="262"/>
      <c r="JO120" s="262"/>
      <c r="JP120" s="262"/>
      <c r="JQ120" s="262"/>
      <c r="JR120" s="262"/>
      <c r="JS120" s="262"/>
      <c r="JT120" s="262"/>
      <c r="JU120" s="262"/>
      <c r="JV120" s="262"/>
      <c r="JW120" s="262"/>
      <c r="JX120" s="262"/>
      <c r="JY120" s="262"/>
      <c r="JZ120" s="262"/>
      <c r="KA120" s="262"/>
      <c r="KB120" s="262"/>
      <c r="KC120" s="262"/>
      <c r="KD120" s="262"/>
      <c r="KE120" s="262"/>
      <c r="KF120" s="262"/>
      <c r="KG120" s="262"/>
      <c r="KH120" s="262"/>
      <c r="KI120" s="262"/>
      <c r="KJ120" s="262"/>
      <c r="KK120" s="262"/>
      <c r="KL120" s="262"/>
      <c r="KM120" s="262"/>
      <c r="KN120" s="262"/>
      <c r="KO120" s="262"/>
      <c r="KP120" s="262"/>
      <c r="KQ120" s="262"/>
      <c r="KR120" s="262"/>
      <c r="KS120" s="262"/>
      <c r="KT120" s="262"/>
      <c r="KU120" s="262"/>
      <c r="KV120" s="262"/>
      <c r="KW120" s="262"/>
      <c r="KX120" s="262"/>
      <c r="KY120" s="262"/>
      <c r="KZ120" s="262"/>
    </row>
    <row r="121" spans="1:312" s="85" customFormat="1" ht="50" customHeight="1">
      <c r="A121" s="263" t="s">
        <v>147</v>
      </c>
      <c r="B121" s="264"/>
      <c r="C121" s="86"/>
      <c r="D121" s="86"/>
      <c r="E121" s="60">
        <v>68</v>
      </c>
      <c r="F121" s="86" t="e">
        <f t="shared" si="2"/>
        <v>#DIV/0!</v>
      </c>
      <c r="G121" s="87">
        <v>2</v>
      </c>
      <c r="H121" s="87">
        <v>5</v>
      </c>
      <c r="I121" s="87"/>
      <c r="J121" s="87" t="s">
        <v>204</v>
      </c>
      <c r="K121" s="89" t="s">
        <v>387</v>
      </c>
      <c r="L121" s="94"/>
      <c r="M121" s="94"/>
      <c r="N121" s="91"/>
      <c r="O121" s="91" t="s">
        <v>335</v>
      </c>
      <c r="P121" s="92"/>
      <c r="Q121" s="95" t="s">
        <v>689</v>
      </c>
      <c r="R121" s="95"/>
      <c r="S121" s="60">
        <v>68</v>
      </c>
      <c r="T121" s="263">
        <f t="shared" si="3"/>
        <v>136</v>
      </c>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2"/>
      <c r="AQ121" s="262"/>
      <c r="AR121" s="262"/>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262"/>
      <c r="BT121" s="262"/>
      <c r="BU121" s="262"/>
      <c r="BV121" s="262"/>
      <c r="BW121" s="262"/>
      <c r="BX121" s="262"/>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2"/>
      <c r="CV121" s="262"/>
      <c r="CW121" s="262"/>
      <c r="CX121" s="262"/>
      <c r="CY121" s="262"/>
      <c r="CZ121" s="262"/>
      <c r="DA121" s="262"/>
      <c r="DB121" s="262"/>
      <c r="DC121" s="262"/>
      <c r="DD121" s="262"/>
      <c r="DE121" s="262"/>
      <c r="DF121" s="262"/>
      <c r="DG121" s="262"/>
      <c r="DH121" s="262"/>
      <c r="DI121" s="262"/>
      <c r="DJ121" s="262"/>
      <c r="DK121" s="262"/>
      <c r="DL121" s="262"/>
      <c r="DM121" s="262"/>
      <c r="DN121" s="262"/>
      <c r="DO121" s="262"/>
      <c r="DP121" s="262"/>
      <c r="DQ121" s="262"/>
      <c r="DR121" s="262"/>
      <c r="DS121" s="262"/>
      <c r="DT121" s="262"/>
      <c r="DU121" s="262"/>
      <c r="DV121" s="262"/>
      <c r="DW121" s="262"/>
      <c r="DX121" s="262"/>
      <c r="DY121" s="262"/>
      <c r="DZ121" s="262"/>
      <c r="EA121" s="262"/>
      <c r="EB121" s="262"/>
      <c r="EC121" s="262"/>
      <c r="ED121" s="262"/>
      <c r="EE121" s="262"/>
      <c r="EF121" s="262"/>
      <c r="EG121" s="262"/>
      <c r="EH121" s="262"/>
      <c r="EI121" s="262"/>
      <c r="EJ121" s="262"/>
      <c r="EK121" s="262"/>
      <c r="EL121" s="262"/>
      <c r="EM121" s="262"/>
      <c r="EN121" s="262"/>
      <c r="EO121" s="262"/>
      <c r="EP121" s="262"/>
      <c r="EQ121" s="262"/>
      <c r="ER121" s="262"/>
      <c r="ES121" s="262"/>
      <c r="ET121" s="262"/>
      <c r="EU121" s="262"/>
      <c r="EV121" s="262"/>
      <c r="EW121" s="262"/>
      <c r="EX121" s="262"/>
      <c r="EY121" s="262"/>
      <c r="EZ121" s="262"/>
      <c r="FA121" s="262"/>
      <c r="FB121" s="262"/>
      <c r="FC121" s="262"/>
      <c r="FD121" s="262"/>
      <c r="FE121" s="262"/>
      <c r="FF121" s="262"/>
      <c r="FG121" s="262"/>
      <c r="FH121" s="262"/>
      <c r="FI121" s="262"/>
      <c r="FJ121" s="262"/>
      <c r="FK121" s="262"/>
      <c r="FL121" s="262"/>
      <c r="FM121" s="262"/>
      <c r="FN121" s="262"/>
      <c r="FO121" s="262"/>
      <c r="FP121" s="262"/>
      <c r="FQ121" s="262"/>
      <c r="FR121" s="262"/>
      <c r="FS121" s="262"/>
      <c r="FT121" s="262"/>
      <c r="FU121" s="262"/>
      <c r="FV121" s="262"/>
      <c r="FW121" s="262"/>
      <c r="FX121" s="262"/>
      <c r="FY121" s="262"/>
      <c r="FZ121" s="262"/>
      <c r="GA121" s="262"/>
      <c r="GB121" s="262"/>
      <c r="GC121" s="262"/>
      <c r="GD121" s="262"/>
      <c r="GE121" s="262"/>
      <c r="GF121" s="262"/>
      <c r="GG121" s="262"/>
      <c r="GH121" s="262"/>
      <c r="GI121" s="262"/>
      <c r="GJ121" s="262"/>
      <c r="GK121" s="262"/>
      <c r="GL121" s="262"/>
      <c r="GM121" s="262"/>
      <c r="GN121" s="262"/>
      <c r="GO121" s="262"/>
      <c r="GP121" s="262"/>
      <c r="GQ121" s="262"/>
      <c r="GR121" s="262"/>
      <c r="GS121" s="262"/>
      <c r="GT121" s="262"/>
      <c r="GU121" s="262"/>
      <c r="GV121" s="262"/>
      <c r="GW121" s="262"/>
      <c r="GX121" s="262"/>
      <c r="GY121" s="262"/>
      <c r="GZ121" s="262"/>
      <c r="HA121" s="262"/>
      <c r="HB121" s="262"/>
      <c r="HC121" s="262"/>
      <c r="HD121" s="262"/>
      <c r="HE121" s="262"/>
      <c r="HF121" s="262"/>
      <c r="HG121" s="262"/>
      <c r="HH121" s="262"/>
      <c r="HI121" s="262"/>
      <c r="HJ121" s="262"/>
      <c r="HK121" s="262"/>
      <c r="HL121" s="262"/>
      <c r="HM121" s="262"/>
      <c r="HN121" s="262"/>
      <c r="HO121" s="262"/>
      <c r="HP121" s="262"/>
      <c r="HQ121" s="262"/>
      <c r="HR121" s="262"/>
      <c r="HS121" s="262"/>
      <c r="HT121" s="262"/>
      <c r="HU121" s="262"/>
      <c r="HV121" s="262"/>
      <c r="HW121" s="262"/>
      <c r="HX121" s="262"/>
      <c r="HY121" s="262"/>
      <c r="HZ121" s="262"/>
      <c r="IA121" s="262"/>
      <c r="IB121" s="262"/>
      <c r="IC121" s="262"/>
      <c r="ID121" s="262"/>
      <c r="IE121" s="262"/>
      <c r="IF121" s="262"/>
      <c r="IG121" s="262"/>
      <c r="IH121" s="262"/>
      <c r="II121" s="262"/>
      <c r="IJ121" s="262"/>
      <c r="IK121" s="262"/>
      <c r="IL121" s="262"/>
      <c r="IM121" s="262"/>
      <c r="IN121" s="262"/>
      <c r="IO121" s="262"/>
      <c r="IP121" s="262"/>
      <c r="IQ121" s="262"/>
      <c r="IR121" s="262"/>
      <c r="IS121" s="262"/>
      <c r="IT121" s="262"/>
      <c r="IU121" s="262"/>
      <c r="IV121" s="262"/>
      <c r="IW121" s="262"/>
      <c r="IX121" s="262"/>
      <c r="IY121" s="262"/>
      <c r="IZ121" s="262"/>
      <c r="JA121" s="262"/>
      <c r="JB121" s="262"/>
      <c r="JC121" s="262"/>
      <c r="JD121" s="262"/>
      <c r="JE121" s="262"/>
      <c r="JF121" s="262"/>
      <c r="JG121" s="262"/>
      <c r="JH121" s="262"/>
      <c r="JI121" s="262"/>
      <c r="JJ121" s="262"/>
      <c r="JK121" s="262"/>
      <c r="JL121" s="262"/>
      <c r="JM121" s="262"/>
      <c r="JN121" s="262"/>
      <c r="JO121" s="262"/>
      <c r="JP121" s="262"/>
      <c r="JQ121" s="262"/>
      <c r="JR121" s="262"/>
      <c r="JS121" s="262"/>
      <c r="JT121" s="262"/>
      <c r="JU121" s="262"/>
      <c r="JV121" s="262"/>
      <c r="JW121" s="262"/>
      <c r="JX121" s="262"/>
      <c r="JY121" s="262"/>
      <c r="JZ121" s="262"/>
      <c r="KA121" s="262"/>
      <c r="KB121" s="262"/>
      <c r="KC121" s="262"/>
      <c r="KD121" s="262"/>
      <c r="KE121" s="262"/>
      <c r="KF121" s="262"/>
      <c r="KG121" s="262"/>
      <c r="KH121" s="262"/>
      <c r="KI121" s="262"/>
      <c r="KJ121" s="262"/>
      <c r="KK121" s="262"/>
      <c r="KL121" s="262"/>
      <c r="KM121" s="262"/>
      <c r="KN121" s="262"/>
      <c r="KO121" s="262"/>
      <c r="KP121" s="262"/>
      <c r="KQ121" s="262"/>
      <c r="KR121" s="262"/>
      <c r="KS121" s="262"/>
      <c r="KT121" s="262"/>
      <c r="KU121" s="262"/>
      <c r="KV121" s="262"/>
      <c r="KW121" s="262"/>
      <c r="KX121" s="262"/>
      <c r="KY121" s="262"/>
      <c r="KZ121" s="262"/>
    </row>
    <row r="122" spans="1:312" s="85" customFormat="1" ht="50" customHeight="1">
      <c r="A122" s="263" t="s">
        <v>148</v>
      </c>
      <c r="B122" s="264"/>
      <c r="C122" s="86"/>
      <c r="D122" s="86"/>
      <c r="E122" s="60">
        <v>184</v>
      </c>
      <c r="F122" s="86" t="e">
        <f t="shared" si="2"/>
        <v>#DIV/0!</v>
      </c>
      <c r="G122" s="87">
        <v>2</v>
      </c>
      <c r="H122" s="87">
        <v>5</v>
      </c>
      <c r="I122" s="87"/>
      <c r="J122" s="87" t="s">
        <v>204</v>
      </c>
      <c r="K122" s="89" t="s">
        <v>725</v>
      </c>
      <c r="L122" s="90"/>
      <c r="M122" s="90" t="s">
        <v>689</v>
      </c>
      <c r="N122" s="91"/>
      <c r="O122" s="91" t="s">
        <v>335</v>
      </c>
      <c r="P122" s="92"/>
      <c r="Q122" s="95"/>
      <c r="R122" s="95" t="s">
        <v>689</v>
      </c>
      <c r="S122" s="60">
        <v>184</v>
      </c>
      <c r="T122" s="263">
        <f t="shared" si="3"/>
        <v>368</v>
      </c>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262"/>
      <c r="BT122" s="262"/>
      <c r="BU122" s="262"/>
      <c r="BV122" s="262"/>
      <c r="BW122" s="262"/>
      <c r="BX122" s="262"/>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2"/>
      <c r="CV122" s="262"/>
      <c r="CW122" s="262"/>
      <c r="CX122" s="262"/>
      <c r="CY122" s="262"/>
      <c r="CZ122" s="262"/>
      <c r="DA122" s="262"/>
      <c r="DB122" s="262"/>
      <c r="DC122" s="262"/>
      <c r="DD122" s="262"/>
      <c r="DE122" s="262"/>
      <c r="DF122" s="262"/>
      <c r="DG122" s="262"/>
      <c r="DH122" s="262"/>
      <c r="DI122" s="262"/>
      <c r="DJ122" s="262"/>
      <c r="DK122" s="262"/>
      <c r="DL122" s="262"/>
      <c r="DM122" s="262"/>
      <c r="DN122" s="262"/>
      <c r="DO122" s="262"/>
      <c r="DP122" s="262"/>
      <c r="DQ122" s="262"/>
      <c r="DR122" s="262"/>
      <c r="DS122" s="262"/>
      <c r="DT122" s="262"/>
      <c r="DU122" s="262"/>
      <c r="DV122" s="262"/>
      <c r="DW122" s="262"/>
      <c r="DX122" s="262"/>
      <c r="DY122" s="262"/>
      <c r="DZ122" s="262"/>
      <c r="EA122" s="262"/>
      <c r="EB122" s="262"/>
      <c r="EC122" s="262"/>
      <c r="ED122" s="262"/>
      <c r="EE122" s="262"/>
      <c r="EF122" s="262"/>
      <c r="EG122" s="262"/>
      <c r="EH122" s="262"/>
      <c r="EI122" s="262"/>
      <c r="EJ122" s="262"/>
      <c r="EK122" s="262"/>
      <c r="EL122" s="262"/>
      <c r="EM122" s="262"/>
      <c r="EN122" s="262"/>
      <c r="EO122" s="262"/>
      <c r="EP122" s="262"/>
      <c r="EQ122" s="262"/>
      <c r="ER122" s="262"/>
      <c r="ES122" s="262"/>
      <c r="ET122" s="262"/>
      <c r="EU122" s="262"/>
      <c r="EV122" s="262"/>
      <c r="EW122" s="262"/>
      <c r="EX122" s="262"/>
      <c r="EY122" s="262"/>
      <c r="EZ122" s="262"/>
      <c r="FA122" s="262"/>
      <c r="FB122" s="262"/>
      <c r="FC122" s="262"/>
      <c r="FD122" s="262"/>
      <c r="FE122" s="262"/>
      <c r="FF122" s="262"/>
      <c r="FG122" s="262"/>
      <c r="FH122" s="262"/>
      <c r="FI122" s="262"/>
      <c r="FJ122" s="262"/>
      <c r="FK122" s="262"/>
      <c r="FL122" s="262"/>
      <c r="FM122" s="262"/>
      <c r="FN122" s="262"/>
      <c r="FO122" s="262"/>
      <c r="FP122" s="262"/>
      <c r="FQ122" s="262"/>
      <c r="FR122" s="262"/>
      <c r="FS122" s="262"/>
      <c r="FT122" s="262"/>
      <c r="FU122" s="262"/>
      <c r="FV122" s="262"/>
      <c r="FW122" s="262"/>
      <c r="FX122" s="262"/>
      <c r="FY122" s="262"/>
      <c r="FZ122" s="262"/>
      <c r="GA122" s="262"/>
      <c r="GB122" s="262"/>
      <c r="GC122" s="262"/>
      <c r="GD122" s="262"/>
      <c r="GE122" s="262"/>
      <c r="GF122" s="262"/>
      <c r="GG122" s="262"/>
      <c r="GH122" s="262"/>
      <c r="GI122" s="262"/>
      <c r="GJ122" s="262"/>
      <c r="GK122" s="262"/>
      <c r="GL122" s="262"/>
      <c r="GM122" s="262"/>
      <c r="GN122" s="262"/>
      <c r="GO122" s="262"/>
      <c r="GP122" s="262"/>
      <c r="GQ122" s="262"/>
      <c r="GR122" s="262"/>
      <c r="GS122" s="262"/>
      <c r="GT122" s="262"/>
      <c r="GU122" s="262"/>
      <c r="GV122" s="262"/>
      <c r="GW122" s="262"/>
      <c r="GX122" s="262"/>
      <c r="GY122" s="262"/>
      <c r="GZ122" s="262"/>
      <c r="HA122" s="262"/>
      <c r="HB122" s="262"/>
      <c r="HC122" s="262"/>
      <c r="HD122" s="262"/>
      <c r="HE122" s="262"/>
      <c r="HF122" s="262"/>
      <c r="HG122" s="262"/>
      <c r="HH122" s="262"/>
      <c r="HI122" s="262"/>
      <c r="HJ122" s="262"/>
      <c r="HK122" s="262"/>
      <c r="HL122" s="262"/>
      <c r="HM122" s="262"/>
      <c r="HN122" s="262"/>
      <c r="HO122" s="262"/>
      <c r="HP122" s="262"/>
      <c r="HQ122" s="262"/>
      <c r="HR122" s="262"/>
      <c r="HS122" s="262"/>
      <c r="HT122" s="262"/>
      <c r="HU122" s="262"/>
      <c r="HV122" s="262"/>
      <c r="HW122" s="262"/>
      <c r="HX122" s="262"/>
      <c r="HY122" s="262"/>
      <c r="HZ122" s="262"/>
      <c r="IA122" s="262"/>
      <c r="IB122" s="262"/>
      <c r="IC122" s="262"/>
      <c r="ID122" s="262"/>
      <c r="IE122" s="262"/>
      <c r="IF122" s="262"/>
      <c r="IG122" s="262"/>
      <c r="IH122" s="262"/>
      <c r="II122" s="262"/>
      <c r="IJ122" s="262"/>
      <c r="IK122" s="262"/>
      <c r="IL122" s="262"/>
      <c r="IM122" s="262"/>
      <c r="IN122" s="262"/>
      <c r="IO122" s="262"/>
      <c r="IP122" s="262"/>
      <c r="IQ122" s="262"/>
      <c r="IR122" s="262"/>
      <c r="IS122" s="262"/>
      <c r="IT122" s="262"/>
      <c r="IU122" s="262"/>
      <c r="IV122" s="262"/>
      <c r="IW122" s="262"/>
      <c r="IX122" s="262"/>
      <c r="IY122" s="262"/>
      <c r="IZ122" s="262"/>
      <c r="JA122" s="262"/>
      <c r="JB122" s="262"/>
      <c r="JC122" s="262"/>
      <c r="JD122" s="262"/>
      <c r="JE122" s="262"/>
      <c r="JF122" s="262"/>
      <c r="JG122" s="262"/>
      <c r="JH122" s="262"/>
      <c r="JI122" s="262"/>
      <c r="JJ122" s="262"/>
      <c r="JK122" s="262"/>
      <c r="JL122" s="262"/>
      <c r="JM122" s="262"/>
      <c r="JN122" s="262"/>
      <c r="JO122" s="262"/>
      <c r="JP122" s="262"/>
      <c r="JQ122" s="262"/>
      <c r="JR122" s="262"/>
      <c r="JS122" s="262"/>
      <c r="JT122" s="262"/>
      <c r="JU122" s="262"/>
      <c r="JV122" s="262"/>
      <c r="JW122" s="262"/>
      <c r="JX122" s="262"/>
      <c r="JY122" s="262"/>
      <c r="JZ122" s="262"/>
      <c r="KA122" s="262"/>
      <c r="KB122" s="262"/>
      <c r="KC122" s="262"/>
      <c r="KD122" s="262"/>
      <c r="KE122" s="262"/>
      <c r="KF122" s="262"/>
      <c r="KG122" s="262"/>
      <c r="KH122" s="262"/>
      <c r="KI122" s="262"/>
      <c r="KJ122" s="262"/>
      <c r="KK122" s="262"/>
      <c r="KL122" s="262"/>
      <c r="KM122" s="262"/>
      <c r="KN122" s="262"/>
      <c r="KO122" s="262"/>
      <c r="KP122" s="262"/>
      <c r="KQ122" s="262"/>
      <c r="KR122" s="262"/>
      <c r="KS122" s="262"/>
      <c r="KT122" s="262"/>
      <c r="KU122" s="262"/>
      <c r="KV122" s="262"/>
      <c r="KW122" s="262"/>
      <c r="KX122" s="262"/>
      <c r="KY122" s="262"/>
      <c r="KZ122" s="262"/>
    </row>
    <row r="123" spans="1:312" s="85" customFormat="1" ht="50" customHeight="1">
      <c r="A123" s="263" t="s">
        <v>149</v>
      </c>
      <c r="B123" s="264"/>
      <c r="C123" s="86"/>
      <c r="D123" s="86"/>
      <c r="E123" s="60">
        <v>184</v>
      </c>
      <c r="F123" s="86" t="e">
        <f t="shared" si="2"/>
        <v>#DIV/0!</v>
      </c>
      <c r="G123" s="87">
        <v>2</v>
      </c>
      <c r="H123" s="87">
        <v>5</v>
      </c>
      <c r="I123" s="87"/>
      <c r="J123" s="87" t="s">
        <v>204</v>
      </c>
      <c r="K123" s="89" t="s">
        <v>726</v>
      </c>
      <c r="L123" s="90"/>
      <c r="M123" s="90" t="s">
        <v>689</v>
      </c>
      <c r="N123" s="91"/>
      <c r="O123" s="91" t="s">
        <v>335</v>
      </c>
      <c r="P123" s="92"/>
      <c r="Q123" s="95"/>
      <c r="R123" s="95" t="s">
        <v>689</v>
      </c>
      <c r="S123" s="60">
        <v>184</v>
      </c>
      <c r="T123" s="263">
        <f t="shared" si="3"/>
        <v>368</v>
      </c>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262"/>
      <c r="BT123" s="262"/>
      <c r="BU123" s="262"/>
      <c r="BV123" s="262"/>
      <c r="BW123" s="262"/>
      <c r="BX123" s="262"/>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2"/>
      <c r="CV123" s="262"/>
      <c r="CW123" s="262"/>
      <c r="CX123" s="262"/>
      <c r="CY123" s="262"/>
      <c r="CZ123" s="262"/>
      <c r="DA123" s="262"/>
      <c r="DB123" s="262"/>
      <c r="DC123" s="262"/>
      <c r="DD123" s="262"/>
      <c r="DE123" s="262"/>
      <c r="DF123" s="262"/>
      <c r="DG123" s="262"/>
      <c r="DH123" s="262"/>
      <c r="DI123" s="262"/>
      <c r="DJ123" s="262"/>
      <c r="DK123" s="262"/>
      <c r="DL123" s="262"/>
      <c r="DM123" s="262"/>
      <c r="DN123" s="262"/>
      <c r="DO123" s="262"/>
      <c r="DP123" s="262"/>
      <c r="DQ123" s="262"/>
      <c r="DR123" s="262"/>
      <c r="DS123" s="262"/>
      <c r="DT123" s="262"/>
      <c r="DU123" s="262"/>
      <c r="DV123" s="262"/>
      <c r="DW123" s="262"/>
      <c r="DX123" s="262"/>
      <c r="DY123" s="262"/>
      <c r="DZ123" s="262"/>
      <c r="EA123" s="262"/>
      <c r="EB123" s="262"/>
      <c r="EC123" s="262"/>
      <c r="ED123" s="262"/>
      <c r="EE123" s="262"/>
      <c r="EF123" s="262"/>
      <c r="EG123" s="262"/>
      <c r="EH123" s="262"/>
      <c r="EI123" s="262"/>
      <c r="EJ123" s="262"/>
      <c r="EK123" s="262"/>
      <c r="EL123" s="262"/>
      <c r="EM123" s="262"/>
      <c r="EN123" s="262"/>
      <c r="EO123" s="262"/>
      <c r="EP123" s="262"/>
      <c r="EQ123" s="262"/>
      <c r="ER123" s="262"/>
      <c r="ES123" s="262"/>
      <c r="ET123" s="262"/>
      <c r="EU123" s="262"/>
      <c r="EV123" s="262"/>
      <c r="EW123" s="262"/>
      <c r="EX123" s="262"/>
      <c r="EY123" s="262"/>
      <c r="EZ123" s="262"/>
      <c r="FA123" s="262"/>
      <c r="FB123" s="262"/>
      <c r="FC123" s="262"/>
      <c r="FD123" s="262"/>
      <c r="FE123" s="262"/>
      <c r="FF123" s="262"/>
      <c r="FG123" s="262"/>
      <c r="FH123" s="262"/>
      <c r="FI123" s="262"/>
      <c r="FJ123" s="262"/>
      <c r="FK123" s="262"/>
      <c r="FL123" s="262"/>
      <c r="FM123" s="262"/>
      <c r="FN123" s="262"/>
      <c r="FO123" s="262"/>
      <c r="FP123" s="262"/>
      <c r="FQ123" s="262"/>
      <c r="FR123" s="262"/>
      <c r="FS123" s="262"/>
      <c r="FT123" s="262"/>
      <c r="FU123" s="262"/>
      <c r="FV123" s="262"/>
      <c r="FW123" s="262"/>
      <c r="FX123" s="262"/>
      <c r="FY123" s="262"/>
      <c r="FZ123" s="262"/>
      <c r="GA123" s="262"/>
      <c r="GB123" s="262"/>
      <c r="GC123" s="262"/>
      <c r="GD123" s="262"/>
      <c r="GE123" s="262"/>
      <c r="GF123" s="262"/>
      <c r="GG123" s="262"/>
      <c r="GH123" s="262"/>
      <c r="GI123" s="262"/>
      <c r="GJ123" s="262"/>
      <c r="GK123" s="262"/>
      <c r="GL123" s="262"/>
      <c r="GM123" s="262"/>
      <c r="GN123" s="262"/>
      <c r="GO123" s="262"/>
      <c r="GP123" s="262"/>
      <c r="GQ123" s="262"/>
      <c r="GR123" s="262"/>
      <c r="GS123" s="262"/>
      <c r="GT123" s="262"/>
      <c r="GU123" s="262"/>
      <c r="GV123" s="262"/>
      <c r="GW123" s="262"/>
      <c r="GX123" s="262"/>
      <c r="GY123" s="262"/>
      <c r="GZ123" s="262"/>
      <c r="HA123" s="262"/>
      <c r="HB123" s="262"/>
      <c r="HC123" s="262"/>
      <c r="HD123" s="262"/>
      <c r="HE123" s="262"/>
      <c r="HF123" s="262"/>
      <c r="HG123" s="262"/>
      <c r="HH123" s="262"/>
      <c r="HI123" s="262"/>
      <c r="HJ123" s="262"/>
      <c r="HK123" s="262"/>
      <c r="HL123" s="262"/>
      <c r="HM123" s="262"/>
      <c r="HN123" s="262"/>
      <c r="HO123" s="262"/>
      <c r="HP123" s="262"/>
      <c r="HQ123" s="262"/>
      <c r="HR123" s="262"/>
      <c r="HS123" s="262"/>
      <c r="HT123" s="262"/>
      <c r="HU123" s="262"/>
      <c r="HV123" s="262"/>
      <c r="HW123" s="262"/>
      <c r="HX123" s="262"/>
      <c r="HY123" s="262"/>
      <c r="HZ123" s="262"/>
      <c r="IA123" s="262"/>
      <c r="IB123" s="262"/>
      <c r="IC123" s="262"/>
      <c r="ID123" s="262"/>
      <c r="IE123" s="262"/>
      <c r="IF123" s="262"/>
      <c r="IG123" s="262"/>
      <c r="IH123" s="262"/>
      <c r="II123" s="262"/>
      <c r="IJ123" s="262"/>
      <c r="IK123" s="262"/>
      <c r="IL123" s="262"/>
      <c r="IM123" s="262"/>
      <c r="IN123" s="262"/>
      <c r="IO123" s="262"/>
      <c r="IP123" s="262"/>
      <c r="IQ123" s="262"/>
      <c r="IR123" s="262"/>
      <c r="IS123" s="262"/>
      <c r="IT123" s="262"/>
      <c r="IU123" s="262"/>
      <c r="IV123" s="262"/>
      <c r="IW123" s="262"/>
      <c r="IX123" s="262"/>
      <c r="IY123" s="262"/>
      <c r="IZ123" s="262"/>
      <c r="JA123" s="262"/>
      <c r="JB123" s="262"/>
      <c r="JC123" s="262"/>
      <c r="JD123" s="262"/>
      <c r="JE123" s="262"/>
      <c r="JF123" s="262"/>
      <c r="JG123" s="262"/>
      <c r="JH123" s="262"/>
      <c r="JI123" s="262"/>
      <c r="JJ123" s="262"/>
      <c r="JK123" s="262"/>
      <c r="JL123" s="262"/>
      <c r="JM123" s="262"/>
      <c r="JN123" s="262"/>
      <c r="JO123" s="262"/>
      <c r="JP123" s="262"/>
      <c r="JQ123" s="262"/>
      <c r="JR123" s="262"/>
      <c r="JS123" s="262"/>
      <c r="JT123" s="262"/>
      <c r="JU123" s="262"/>
      <c r="JV123" s="262"/>
      <c r="JW123" s="262"/>
      <c r="JX123" s="262"/>
      <c r="JY123" s="262"/>
      <c r="JZ123" s="262"/>
      <c r="KA123" s="262"/>
      <c r="KB123" s="262"/>
      <c r="KC123" s="262"/>
      <c r="KD123" s="262"/>
      <c r="KE123" s="262"/>
      <c r="KF123" s="262"/>
      <c r="KG123" s="262"/>
      <c r="KH123" s="262"/>
      <c r="KI123" s="262"/>
      <c r="KJ123" s="262"/>
      <c r="KK123" s="262"/>
      <c r="KL123" s="262"/>
      <c r="KM123" s="262"/>
      <c r="KN123" s="262"/>
      <c r="KO123" s="262"/>
      <c r="KP123" s="262"/>
      <c r="KQ123" s="262"/>
      <c r="KR123" s="262"/>
      <c r="KS123" s="262"/>
      <c r="KT123" s="262"/>
      <c r="KU123" s="262"/>
      <c r="KV123" s="262"/>
      <c r="KW123" s="262"/>
      <c r="KX123" s="262"/>
      <c r="KY123" s="262"/>
      <c r="KZ123" s="262"/>
    </row>
    <row r="124" spans="1:312" s="85" customFormat="1" ht="50" customHeight="1">
      <c r="A124" s="263" t="s">
        <v>333</v>
      </c>
      <c r="B124" s="264"/>
      <c r="C124" s="86"/>
      <c r="D124" s="86"/>
      <c r="E124" s="60">
        <v>68</v>
      </c>
      <c r="F124" s="86" t="e">
        <f t="shared" si="2"/>
        <v>#DIV/0!</v>
      </c>
      <c r="G124" s="87">
        <v>2</v>
      </c>
      <c r="H124" s="87">
        <v>5</v>
      </c>
      <c r="I124" s="87"/>
      <c r="J124" s="87" t="s">
        <v>204</v>
      </c>
      <c r="K124" s="89" t="s">
        <v>334</v>
      </c>
      <c r="L124" s="94"/>
      <c r="M124" s="94"/>
      <c r="N124" s="91"/>
      <c r="O124" s="91" t="s">
        <v>335</v>
      </c>
      <c r="P124" s="92"/>
      <c r="Q124" s="95" t="s">
        <v>689</v>
      </c>
      <c r="R124" s="95"/>
      <c r="S124" s="60">
        <v>68</v>
      </c>
      <c r="T124" s="263">
        <f t="shared" si="3"/>
        <v>136</v>
      </c>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262"/>
      <c r="BT124" s="262"/>
      <c r="BU124" s="262"/>
      <c r="BV124" s="262"/>
      <c r="BW124" s="262"/>
      <c r="BX124" s="262"/>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2"/>
      <c r="CV124" s="262"/>
      <c r="CW124" s="262"/>
      <c r="CX124" s="262"/>
      <c r="CY124" s="262"/>
      <c r="CZ124" s="262"/>
      <c r="DA124" s="262"/>
      <c r="DB124" s="262"/>
      <c r="DC124" s="262"/>
      <c r="DD124" s="262"/>
      <c r="DE124" s="262"/>
      <c r="DF124" s="262"/>
      <c r="DG124" s="262"/>
      <c r="DH124" s="262"/>
      <c r="DI124" s="262"/>
      <c r="DJ124" s="262"/>
      <c r="DK124" s="262"/>
      <c r="DL124" s="262"/>
      <c r="DM124" s="262"/>
      <c r="DN124" s="262"/>
      <c r="DO124" s="262"/>
      <c r="DP124" s="262"/>
      <c r="DQ124" s="262"/>
      <c r="DR124" s="262"/>
      <c r="DS124" s="262"/>
      <c r="DT124" s="262"/>
      <c r="DU124" s="262"/>
      <c r="DV124" s="262"/>
      <c r="DW124" s="262"/>
      <c r="DX124" s="262"/>
      <c r="DY124" s="262"/>
      <c r="DZ124" s="262"/>
      <c r="EA124" s="262"/>
      <c r="EB124" s="262"/>
      <c r="EC124" s="262"/>
      <c r="ED124" s="262"/>
      <c r="EE124" s="262"/>
      <c r="EF124" s="262"/>
      <c r="EG124" s="262"/>
      <c r="EH124" s="262"/>
      <c r="EI124" s="262"/>
      <c r="EJ124" s="262"/>
      <c r="EK124" s="262"/>
      <c r="EL124" s="262"/>
      <c r="EM124" s="262"/>
      <c r="EN124" s="262"/>
      <c r="EO124" s="262"/>
      <c r="EP124" s="262"/>
      <c r="EQ124" s="262"/>
      <c r="ER124" s="262"/>
      <c r="ES124" s="262"/>
      <c r="ET124" s="262"/>
      <c r="EU124" s="262"/>
      <c r="EV124" s="262"/>
      <c r="EW124" s="262"/>
      <c r="EX124" s="262"/>
      <c r="EY124" s="262"/>
      <c r="EZ124" s="262"/>
      <c r="FA124" s="262"/>
      <c r="FB124" s="262"/>
      <c r="FC124" s="262"/>
      <c r="FD124" s="262"/>
      <c r="FE124" s="262"/>
      <c r="FF124" s="262"/>
      <c r="FG124" s="262"/>
      <c r="FH124" s="262"/>
      <c r="FI124" s="262"/>
      <c r="FJ124" s="262"/>
      <c r="FK124" s="262"/>
      <c r="FL124" s="262"/>
      <c r="FM124" s="262"/>
      <c r="FN124" s="262"/>
      <c r="FO124" s="262"/>
      <c r="FP124" s="262"/>
      <c r="FQ124" s="262"/>
      <c r="FR124" s="262"/>
      <c r="FS124" s="262"/>
      <c r="FT124" s="262"/>
      <c r="FU124" s="262"/>
      <c r="FV124" s="262"/>
      <c r="FW124" s="262"/>
      <c r="FX124" s="262"/>
      <c r="FY124" s="262"/>
      <c r="FZ124" s="262"/>
      <c r="GA124" s="262"/>
      <c r="GB124" s="262"/>
      <c r="GC124" s="262"/>
      <c r="GD124" s="262"/>
      <c r="GE124" s="262"/>
      <c r="GF124" s="262"/>
      <c r="GG124" s="262"/>
      <c r="GH124" s="262"/>
      <c r="GI124" s="262"/>
      <c r="GJ124" s="262"/>
      <c r="GK124" s="262"/>
      <c r="GL124" s="262"/>
      <c r="GM124" s="262"/>
      <c r="GN124" s="262"/>
      <c r="GO124" s="262"/>
      <c r="GP124" s="262"/>
      <c r="GQ124" s="262"/>
      <c r="GR124" s="262"/>
      <c r="GS124" s="262"/>
      <c r="GT124" s="262"/>
      <c r="GU124" s="262"/>
      <c r="GV124" s="262"/>
      <c r="GW124" s="262"/>
      <c r="GX124" s="262"/>
      <c r="GY124" s="262"/>
      <c r="GZ124" s="262"/>
      <c r="HA124" s="262"/>
      <c r="HB124" s="262"/>
      <c r="HC124" s="262"/>
      <c r="HD124" s="262"/>
      <c r="HE124" s="262"/>
      <c r="HF124" s="262"/>
      <c r="HG124" s="262"/>
      <c r="HH124" s="262"/>
      <c r="HI124" s="262"/>
      <c r="HJ124" s="262"/>
      <c r="HK124" s="262"/>
      <c r="HL124" s="262"/>
      <c r="HM124" s="262"/>
      <c r="HN124" s="262"/>
      <c r="HO124" s="262"/>
      <c r="HP124" s="262"/>
      <c r="HQ124" s="262"/>
      <c r="HR124" s="262"/>
      <c r="HS124" s="262"/>
      <c r="HT124" s="262"/>
      <c r="HU124" s="262"/>
      <c r="HV124" s="262"/>
      <c r="HW124" s="262"/>
      <c r="HX124" s="262"/>
      <c r="HY124" s="262"/>
      <c r="HZ124" s="262"/>
      <c r="IA124" s="262"/>
      <c r="IB124" s="262"/>
      <c r="IC124" s="262"/>
      <c r="ID124" s="262"/>
      <c r="IE124" s="262"/>
      <c r="IF124" s="262"/>
      <c r="IG124" s="262"/>
      <c r="IH124" s="262"/>
      <c r="II124" s="262"/>
      <c r="IJ124" s="262"/>
      <c r="IK124" s="262"/>
      <c r="IL124" s="262"/>
      <c r="IM124" s="262"/>
      <c r="IN124" s="262"/>
      <c r="IO124" s="262"/>
      <c r="IP124" s="262"/>
      <c r="IQ124" s="262"/>
      <c r="IR124" s="262"/>
      <c r="IS124" s="262"/>
      <c r="IT124" s="262"/>
      <c r="IU124" s="262"/>
      <c r="IV124" s="262"/>
      <c r="IW124" s="262"/>
      <c r="IX124" s="262"/>
      <c r="IY124" s="262"/>
      <c r="IZ124" s="262"/>
      <c r="JA124" s="262"/>
      <c r="JB124" s="262"/>
      <c r="JC124" s="262"/>
      <c r="JD124" s="262"/>
      <c r="JE124" s="262"/>
      <c r="JF124" s="262"/>
      <c r="JG124" s="262"/>
      <c r="JH124" s="262"/>
      <c r="JI124" s="262"/>
      <c r="JJ124" s="262"/>
      <c r="JK124" s="262"/>
      <c r="JL124" s="262"/>
      <c r="JM124" s="262"/>
      <c r="JN124" s="262"/>
      <c r="JO124" s="262"/>
      <c r="JP124" s="262"/>
      <c r="JQ124" s="262"/>
      <c r="JR124" s="262"/>
      <c r="JS124" s="262"/>
      <c r="JT124" s="262"/>
      <c r="JU124" s="262"/>
      <c r="JV124" s="262"/>
      <c r="JW124" s="262"/>
      <c r="JX124" s="262"/>
      <c r="JY124" s="262"/>
      <c r="JZ124" s="262"/>
      <c r="KA124" s="262"/>
      <c r="KB124" s="262"/>
      <c r="KC124" s="262"/>
      <c r="KD124" s="262"/>
      <c r="KE124" s="262"/>
      <c r="KF124" s="262"/>
      <c r="KG124" s="262"/>
      <c r="KH124" s="262"/>
      <c r="KI124" s="262"/>
      <c r="KJ124" s="262"/>
      <c r="KK124" s="262"/>
      <c r="KL124" s="262"/>
      <c r="KM124" s="262"/>
      <c r="KN124" s="262"/>
      <c r="KO124" s="262"/>
      <c r="KP124" s="262"/>
      <c r="KQ124" s="262"/>
      <c r="KR124" s="262"/>
      <c r="KS124" s="262"/>
      <c r="KT124" s="262"/>
      <c r="KU124" s="262"/>
      <c r="KV124" s="262"/>
      <c r="KW124" s="262"/>
      <c r="KX124" s="262"/>
      <c r="KY124" s="262"/>
      <c r="KZ124" s="262"/>
    </row>
    <row r="125" spans="1:312" s="85" customFormat="1" ht="50" customHeight="1">
      <c r="A125" s="263" t="s">
        <v>162</v>
      </c>
      <c r="B125" s="264"/>
      <c r="C125" s="86"/>
      <c r="D125" s="86"/>
      <c r="E125" s="60">
        <v>184</v>
      </c>
      <c r="F125" s="86" t="e">
        <f t="shared" si="2"/>
        <v>#DIV/0!</v>
      </c>
      <c r="G125" s="87">
        <v>2</v>
      </c>
      <c r="H125" s="87">
        <v>5</v>
      </c>
      <c r="I125" s="87"/>
      <c r="J125" s="87" t="s">
        <v>204</v>
      </c>
      <c r="K125" s="89" t="s">
        <v>727</v>
      </c>
      <c r="L125" s="90"/>
      <c r="M125" s="90" t="s">
        <v>689</v>
      </c>
      <c r="N125" s="91"/>
      <c r="O125" s="91" t="s">
        <v>335</v>
      </c>
      <c r="P125" s="92"/>
      <c r="Q125" s="95"/>
      <c r="R125" s="95" t="s">
        <v>689</v>
      </c>
      <c r="S125" s="60">
        <v>184</v>
      </c>
      <c r="T125" s="263">
        <f t="shared" si="3"/>
        <v>368</v>
      </c>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c r="AP125" s="262"/>
      <c r="AQ125" s="262"/>
      <c r="AR125" s="262"/>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262"/>
      <c r="BT125" s="262"/>
      <c r="BU125" s="262"/>
      <c r="BV125" s="262"/>
      <c r="BW125" s="262"/>
      <c r="BX125" s="262"/>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2"/>
      <c r="CV125" s="262"/>
      <c r="CW125" s="262"/>
      <c r="CX125" s="262"/>
      <c r="CY125" s="262"/>
      <c r="CZ125" s="262"/>
      <c r="DA125" s="262"/>
      <c r="DB125" s="262"/>
      <c r="DC125" s="262"/>
      <c r="DD125" s="262"/>
      <c r="DE125" s="262"/>
      <c r="DF125" s="262"/>
      <c r="DG125" s="262"/>
      <c r="DH125" s="262"/>
      <c r="DI125" s="262"/>
      <c r="DJ125" s="262"/>
      <c r="DK125" s="262"/>
      <c r="DL125" s="262"/>
      <c r="DM125" s="262"/>
      <c r="DN125" s="262"/>
      <c r="DO125" s="262"/>
      <c r="DP125" s="262"/>
      <c r="DQ125" s="262"/>
      <c r="DR125" s="262"/>
      <c r="DS125" s="262"/>
      <c r="DT125" s="262"/>
      <c r="DU125" s="262"/>
      <c r="DV125" s="262"/>
      <c r="DW125" s="262"/>
      <c r="DX125" s="262"/>
      <c r="DY125" s="262"/>
      <c r="DZ125" s="262"/>
      <c r="EA125" s="262"/>
      <c r="EB125" s="262"/>
      <c r="EC125" s="262"/>
      <c r="ED125" s="262"/>
      <c r="EE125" s="262"/>
      <c r="EF125" s="262"/>
      <c r="EG125" s="262"/>
      <c r="EH125" s="262"/>
      <c r="EI125" s="262"/>
      <c r="EJ125" s="262"/>
      <c r="EK125" s="262"/>
      <c r="EL125" s="262"/>
      <c r="EM125" s="262"/>
      <c r="EN125" s="262"/>
      <c r="EO125" s="262"/>
      <c r="EP125" s="262"/>
      <c r="EQ125" s="262"/>
      <c r="ER125" s="262"/>
      <c r="ES125" s="262"/>
      <c r="ET125" s="262"/>
      <c r="EU125" s="262"/>
      <c r="EV125" s="262"/>
      <c r="EW125" s="262"/>
      <c r="EX125" s="262"/>
      <c r="EY125" s="262"/>
      <c r="EZ125" s="262"/>
      <c r="FA125" s="262"/>
      <c r="FB125" s="262"/>
      <c r="FC125" s="262"/>
      <c r="FD125" s="262"/>
      <c r="FE125" s="262"/>
      <c r="FF125" s="262"/>
      <c r="FG125" s="262"/>
      <c r="FH125" s="262"/>
      <c r="FI125" s="262"/>
      <c r="FJ125" s="262"/>
      <c r="FK125" s="262"/>
      <c r="FL125" s="262"/>
      <c r="FM125" s="262"/>
      <c r="FN125" s="262"/>
      <c r="FO125" s="262"/>
      <c r="FP125" s="262"/>
      <c r="FQ125" s="262"/>
      <c r="FR125" s="262"/>
      <c r="FS125" s="262"/>
      <c r="FT125" s="262"/>
      <c r="FU125" s="262"/>
      <c r="FV125" s="262"/>
      <c r="FW125" s="262"/>
      <c r="FX125" s="262"/>
      <c r="FY125" s="262"/>
      <c r="FZ125" s="262"/>
      <c r="GA125" s="262"/>
      <c r="GB125" s="262"/>
      <c r="GC125" s="262"/>
      <c r="GD125" s="262"/>
      <c r="GE125" s="262"/>
      <c r="GF125" s="262"/>
      <c r="GG125" s="262"/>
      <c r="GH125" s="262"/>
      <c r="GI125" s="262"/>
      <c r="GJ125" s="262"/>
      <c r="GK125" s="262"/>
      <c r="GL125" s="262"/>
      <c r="GM125" s="262"/>
      <c r="GN125" s="262"/>
      <c r="GO125" s="262"/>
      <c r="GP125" s="262"/>
      <c r="GQ125" s="262"/>
      <c r="GR125" s="262"/>
      <c r="GS125" s="262"/>
      <c r="GT125" s="262"/>
      <c r="GU125" s="262"/>
      <c r="GV125" s="262"/>
      <c r="GW125" s="262"/>
      <c r="GX125" s="262"/>
      <c r="GY125" s="262"/>
      <c r="GZ125" s="262"/>
      <c r="HA125" s="262"/>
      <c r="HB125" s="262"/>
      <c r="HC125" s="262"/>
      <c r="HD125" s="262"/>
      <c r="HE125" s="262"/>
      <c r="HF125" s="262"/>
      <c r="HG125" s="262"/>
      <c r="HH125" s="262"/>
      <c r="HI125" s="262"/>
      <c r="HJ125" s="262"/>
      <c r="HK125" s="262"/>
      <c r="HL125" s="262"/>
      <c r="HM125" s="262"/>
      <c r="HN125" s="262"/>
      <c r="HO125" s="262"/>
      <c r="HP125" s="262"/>
      <c r="HQ125" s="262"/>
      <c r="HR125" s="262"/>
      <c r="HS125" s="262"/>
      <c r="HT125" s="262"/>
      <c r="HU125" s="262"/>
      <c r="HV125" s="262"/>
      <c r="HW125" s="262"/>
      <c r="HX125" s="262"/>
      <c r="HY125" s="262"/>
      <c r="HZ125" s="262"/>
      <c r="IA125" s="262"/>
      <c r="IB125" s="262"/>
      <c r="IC125" s="262"/>
      <c r="ID125" s="262"/>
      <c r="IE125" s="262"/>
      <c r="IF125" s="262"/>
      <c r="IG125" s="262"/>
      <c r="IH125" s="262"/>
      <c r="II125" s="262"/>
      <c r="IJ125" s="262"/>
      <c r="IK125" s="262"/>
      <c r="IL125" s="262"/>
      <c r="IM125" s="262"/>
      <c r="IN125" s="262"/>
      <c r="IO125" s="262"/>
      <c r="IP125" s="262"/>
      <c r="IQ125" s="262"/>
      <c r="IR125" s="262"/>
      <c r="IS125" s="262"/>
      <c r="IT125" s="262"/>
      <c r="IU125" s="262"/>
      <c r="IV125" s="262"/>
      <c r="IW125" s="262"/>
      <c r="IX125" s="262"/>
      <c r="IY125" s="262"/>
      <c r="IZ125" s="262"/>
      <c r="JA125" s="262"/>
      <c r="JB125" s="262"/>
      <c r="JC125" s="262"/>
      <c r="JD125" s="262"/>
      <c r="JE125" s="262"/>
      <c r="JF125" s="262"/>
      <c r="JG125" s="262"/>
      <c r="JH125" s="262"/>
      <c r="JI125" s="262"/>
      <c r="JJ125" s="262"/>
      <c r="JK125" s="262"/>
      <c r="JL125" s="262"/>
      <c r="JM125" s="262"/>
      <c r="JN125" s="262"/>
      <c r="JO125" s="262"/>
      <c r="JP125" s="262"/>
      <c r="JQ125" s="262"/>
      <c r="JR125" s="262"/>
      <c r="JS125" s="262"/>
      <c r="JT125" s="262"/>
      <c r="JU125" s="262"/>
      <c r="JV125" s="262"/>
      <c r="JW125" s="262"/>
      <c r="JX125" s="262"/>
      <c r="JY125" s="262"/>
      <c r="JZ125" s="262"/>
      <c r="KA125" s="262"/>
      <c r="KB125" s="262"/>
      <c r="KC125" s="262"/>
      <c r="KD125" s="262"/>
      <c r="KE125" s="262"/>
      <c r="KF125" s="262"/>
      <c r="KG125" s="262"/>
      <c r="KH125" s="262"/>
      <c r="KI125" s="262"/>
      <c r="KJ125" s="262"/>
      <c r="KK125" s="262"/>
      <c r="KL125" s="262"/>
      <c r="KM125" s="262"/>
      <c r="KN125" s="262"/>
      <c r="KO125" s="262"/>
      <c r="KP125" s="262"/>
      <c r="KQ125" s="262"/>
      <c r="KR125" s="262"/>
      <c r="KS125" s="262"/>
      <c r="KT125" s="262"/>
      <c r="KU125" s="262"/>
      <c r="KV125" s="262"/>
      <c r="KW125" s="262"/>
      <c r="KX125" s="262"/>
      <c r="KY125" s="262"/>
      <c r="KZ125" s="262"/>
    </row>
    <row r="126" spans="1:312" s="85" customFormat="1" ht="50" customHeight="1">
      <c r="A126" s="263" t="s">
        <v>185</v>
      </c>
      <c r="B126" s="264"/>
      <c r="C126" s="86"/>
      <c r="D126" s="86"/>
      <c r="E126" s="60">
        <v>68</v>
      </c>
      <c r="F126" s="86" t="e">
        <f t="shared" si="2"/>
        <v>#DIV/0!</v>
      </c>
      <c r="G126" s="87">
        <v>2</v>
      </c>
      <c r="H126" s="87">
        <v>5</v>
      </c>
      <c r="I126" s="264"/>
      <c r="J126" s="264" t="s">
        <v>204</v>
      </c>
      <c r="K126" s="265" t="s">
        <v>508</v>
      </c>
      <c r="L126" s="98"/>
      <c r="M126" s="98"/>
      <c r="N126" s="99"/>
      <c r="O126" s="99" t="s">
        <v>335</v>
      </c>
      <c r="P126" s="266"/>
      <c r="Q126" s="93" t="s">
        <v>689</v>
      </c>
      <c r="R126" s="93"/>
      <c r="S126" s="60">
        <v>68</v>
      </c>
      <c r="T126" s="263">
        <f t="shared" si="3"/>
        <v>136</v>
      </c>
      <c r="U126" s="262"/>
      <c r="V126" s="262"/>
      <c r="W126" s="262"/>
      <c r="X126" s="262"/>
      <c r="Y126" s="262"/>
      <c r="Z126" s="262"/>
      <c r="AA126" s="262"/>
      <c r="AB126" s="262"/>
      <c r="AC126" s="262"/>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262"/>
      <c r="BT126" s="262"/>
      <c r="BU126" s="262"/>
      <c r="BV126" s="262"/>
      <c r="BW126" s="262"/>
      <c r="BX126" s="262"/>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2"/>
      <c r="CV126" s="262"/>
      <c r="CW126" s="262"/>
      <c r="CX126" s="262"/>
      <c r="CY126" s="262"/>
      <c r="CZ126" s="262"/>
      <c r="DA126" s="262"/>
      <c r="DB126" s="262"/>
      <c r="DC126" s="262"/>
      <c r="DD126" s="262"/>
      <c r="DE126" s="262"/>
      <c r="DF126" s="262"/>
      <c r="DG126" s="262"/>
      <c r="DH126" s="262"/>
      <c r="DI126" s="262"/>
      <c r="DJ126" s="262"/>
      <c r="DK126" s="262"/>
      <c r="DL126" s="262"/>
      <c r="DM126" s="262"/>
      <c r="DN126" s="262"/>
      <c r="DO126" s="262"/>
      <c r="DP126" s="262"/>
      <c r="DQ126" s="262"/>
      <c r="DR126" s="262"/>
      <c r="DS126" s="262"/>
      <c r="DT126" s="262"/>
      <c r="DU126" s="262"/>
      <c r="DV126" s="262"/>
      <c r="DW126" s="262"/>
      <c r="DX126" s="262"/>
      <c r="DY126" s="262"/>
      <c r="DZ126" s="262"/>
      <c r="EA126" s="262"/>
      <c r="EB126" s="262"/>
      <c r="EC126" s="262"/>
      <c r="ED126" s="262"/>
      <c r="EE126" s="262"/>
      <c r="EF126" s="262"/>
      <c r="EG126" s="262"/>
      <c r="EH126" s="262"/>
      <c r="EI126" s="262"/>
      <c r="EJ126" s="262"/>
      <c r="EK126" s="262"/>
      <c r="EL126" s="262"/>
      <c r="EM126" s="262"/>
      <c r="EN126" s="262"/>
      <c r="EO126" s="262"/>
      <c r="EP126" s="262"/>
      <c r="EQ126" s="262"/>
      <c r="ER126" s="262"/>
      <c r="ES126" s="262"/>
      <c r="ET126" s="262"/>
      <c r="EU126" s="262"/>
      <c r="EV126" s="262"/>
      <c r="EW126" s="262"/>
      <c r="EX126" s="262"/>
      <c r="EY126" s="262"/>
      <c r="EZ126" s="262"/>
      <c r="FA126" s="262"/>
      <c r="FB126" s="262"/>
      <c r="FC126" s="262"/>
      <c r="FD126" s="262"/>
      <c r="FE126" s="262"/>
      <c r="FF126" s="262"/>
      <c r="FG126" s="262"/>
      <c r="FH126" s="262"/>
      <c r="FI126" s="262"/>
      <c r="FJ126" s="262"/>
      <c r="FK126" s="262"/>
      <c r="FL126" s="262"/>
      <c r="FM126" s="262"/>
      <c r="FN126" s="262"/>
      <c r="FO126" s="262"/>
      <c r="FP126" s="262"/>
      <c r="FQ126" s="262"/>
      <c r="FR126" s="262"/>
      <c r="FS126" s="262"/>
      <c r="FT126" s="262"/>
      <c r="FU126" s="262"/>
      <c r="FV126" s="262"/>
      <c r="FW126" s="262"/>
      <c r="FX126" s="262"/>
      <c r="FY126" s="262"/>
      <c r="FZ126" s="262"/>
      <c r="GA126" s="262"/>
      <c r="GB126" s="262"/>
      <c r="GC126" s="262"/>
      <c r="GD126" s="262"/>
      <c r="GE126" s="262"/>
      <c r="GF126" s="262"/>
      <c r="GG126" s="262"/>
      <c r="GH126" s="262"/>
      <c r="GI126" s="262"/>
      <c r="GJ126" s="262"/>
      <c r="GK126" s="262"/>
      <c r="GL126" s="262"/>
      <c r="GM126" s="262"/>
      <c r="GN126" s="262"/>
      <c r="GO126" s="262"/>
      <c r="GP126" s="262"/>
      <c r="GQ126" s="262"/>
      <c r="GR126" s="262"/>
      <c r="GS126" s="262"/>
      <c r="GT126" s="262"/>
      <c r="GU126" s="262"/>
      <c r="GV126" s="262"/>
      <c r="GW126" s="262"/>
      <c r="GX126" s="262"/>
      <c r="GY126" s="262"/>
      <c r="GZ126" s="262"/>
      <c r="HA126" s="262"/>
      <c r="HB126" s="262"/>
      <c r="HC126" s="262"/>
      <c r="HD126" s="262"/>
      <c r="HE126" s="262"/>
      <c r="HF126" s="262"/>
      <c r="HG126" s="262"/>
      <c r="HH126" s="262"/>
      <c r="HI126" s="262"/>
      <c r="HJ126" s="262"/>
      <c r="HK126" s="262"/>
      <c r="HL126" s="262"/>
      <c r="HM126" s="262"/>
      <c r="HN126" s="262"/>
      <c r="HO126" s="262"/>
      <c r="HP126" s="262"/>
      <c r="HQ126" s="262"/>
      <c r="HR126" s="262"/>
      <c r="HS126" s="262"/>
      <c r="HT126" s="262"/>
      <c r="HU126" s="262"/>
      <c r="HV126" s="262"/>
      <c r="HW126" s="262"/>
      <c r="HX126" s="262"/>
      <c r="HY126" s="262"/>
      <c r="HZ126" s="262"/>
      <c r="IA126" s="262"/>
      <c r="IB126" s="262"/>
      <c r="IC126" s="262"/>
      <c r="ID126" s="262"/>
      <c r="IE126" s="262"/>
      <c r="IF126" s="262"/>
      <c r="IG126" s="262"/>
      <c r="IH126" s="262"/>
      <c r="II126" s="262"/>
      <c r="IJ126" s="262"/>
      <c r="IK126" s="262"/>
      <c r="IL126" s="262"/>
      <c r="IM126" s="262"/>
      <c r="IN126" s="262"/>
      <c r="IO126" s="262"/>
      <c r="IP126" s="262"/>
      <c r="IQ126" s="262"/>
      <c r="IR126" s="262"/>
      <c r="IS126" s="262"/>
      <c r="IT126" s="262"/>
      <c r="IU126" s="262"/>
      <c r="IV126" s="262"/>
      <c r="IW126" s="262"/>
      <c r="IX126" s="262"/>
      <c r="IY126" s="262"/>
      <c r="IZ126" s="262"/>
      <c r="JA126" s="262"/>
      <c r="JB126" s="262"/>
      <c r="JC126" s="262"/>
      <c r="JD126" s="262"/>
      <c r="JE126" s="262"/>
      <c r="JF126" s="262"/>
      <c r="JG126" s="262"/>
      <c r="JH126" s="262"/>
      <c r="JI126" s="262"/>
      <c r="JJ126" s="262"/>
      <c r="JK126" s="262"/>
      <c r="JL126" s="262"/>
      <c r="JM126" s="262"/>
      <c r="JN126" s="262"/>
      <c r="JO126" s="262"/>
      <c r="JP126" s="262"/>
      <c r="JQ126" s="262"/>
      <c r="JR126" s="262"/>
      <c r="JS126" s="262"/>
      <c r="JT126" s="262"/>
      <c r="JU126" s="262"/>
      <c r="JV126" s="262"/>
      <c r="JW126" s="262"/>
      <c r="JX126" s="262"/>
      <c r="JY126" s="262"/>
      <c r="JZ126" s="262"/>
      <c r="KA126" s="262"/>
      <c r="KB126" s="262"/>
      <c r="KC126" s="262"/>
      <c r="KD126" s="262"/>
      <c r="KE126" s="262"/>
      <c r="KF126" s="262"/>
      <c r="KG126" s="262"/>
      <c r="KH126" s="262"/>
      <c r="KI126" s="262"/>
      <c r="KJ126" s="262"/>
      <c r="KK126" s="262"/>
      <c r="KL126" s="262"/>
      <c r="KM126" s="262"/>
      <c r="KN126" s="262"/>
      <c r="KO126" s="262"/>
      <c r="KP126" s="262"/>
      <c r="KQ126" s="262"/>
      <c r="KR126" s="262"/>
      <c r="KS126" s="262"/>
      <c r="KT126" s="262"/>
      <c r="KU126" s="262"/>
      <c r="KV126" s="262"/>
      <c r="KW126" s="262"/>
      <c r="KX126" s="262"/>
      <c r="KY126" s="262"/>
      <c r="KZ126" s="262"/>
    </row>
    <row r="127" spans="1:312" s="85" customFormat="1" ht="50" customHeight="1">
      <c r="A127" s="263" t="s">
        <v>161</v>
      </c>
      <c r="B127" s="264"/>
      <c r="C127" s="86"/>
      <c r="D127" s="86"/>
      <c r="E127" s="60">
        <v>68</v>
      </c>
      <c r="F127" s="86" t="e">
        <f t="shared" si="2"/>
        <v>#DIV/0!</v>
      </c>
      <c r="G127" s="87">
        <v>2</v>
      </c>
      <c r="H127" s="87">
        <v>5</v>
      </c>
      <c r="I127" s="87"/>
      <c r="J127" s="87" t="s">
        <v>204</v>
      </c>
      <c r="K127" s="89" t="s">
        <v>728</v>
      </c>
      <c r="L127" s="90"/>
      <c r="M127" s="94"/>
      <c r="N127" s="91"/>
      <c r="O127" s="91" t="s">
        <v>335</v>
      </c>
      <c r="P127" s="92"/>
      <c r="Q127" s="95" t="s">
        <v>689</v>
      </c>
      <c r="R127" s="95" t="s">
        <v>689</v>
      </c>
      <c r="S127" s="60">
        <v>68</v>
      </c>
      <c r="T127" s="263">
        <f t="shared" si="3"/>
        <v>136</v>
      </c>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262"/>
      <c r="BT127" s="262"/>
      <c r="BU127" s="262"/>
      <c r="BV127" s="262"/>
      <c r="BW127" s="262"/>
      <c r="BX127" s="262"/>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2"/>
      <c r="CV127" s="262"/>
      <c r="CW127" s="262"/>
      <c r="CX127" s="262"/>
      <c r="CY127" s="262"/>
      <c r="CZ127" s="262"/>
      <c r="DA127" s="262"/>
      <c r="DB127" s="262"/>
      <c r="DC127" s="262"/>
      <c r="DD127" s="262"/>
      <c r="DE127" s="262"/>
      <c r="DF127" s="262"/>
      <c r="DG127" s="262"/>
      <c r="DH127" s="262"/>
      <c r="DI127" s="262"/>
      <c r="DJ127" s="262"/>
      <c r="DK127" s="262"/>
      <c r="DL127" s="262"/>
      <c r="DM127" s="262"/>
      <c r="DN127" s="262"/>
      <c r="DO127" s="262"/>
      <c r="DP127" s="262"/>
      <c r="DQ127" s="262"/>
      <c r="DR127" s="262"/>
      <c r="DS127" s="262"/>
      <c r="DT127" s="262"/>
      <c r="DU127" s="262"/>
      <c r="DV127" s="262"/>
      <c r="DW127" s="262"/>
      <c r="DX127" s="262"/>
      <c r="DY127" s="262"/>
      <c r="DZ127" s="262"/>
      <c r="EA127" s="262"/>
      <c r="EB127" s="262"/>
      <c r="EC127" s="262"/>
      <c r="ED127" s="262"/>
      <c r="EE127" s="262"/>
      <c r="EF127" s="262"/>
      <c r="EG127" s="262"/>
      <c r="EH127" s="262"/>
      <c r="EI127" s="262"/>
      <c r="EJ127" s="262"/>
      <c r="EK127" s="262"/>
      <c r="EL127" s="262"/>
      <c r="EM127" s="262"/>
      <c r="EN127" s="262"/>
      <c r="EO127" s="262"/>
      <c r="EP127" s="262"/>
      <c r="EQ127" s="262"/>
      <c r="ER127" s="262"/>
      <c r="ES127" s="262"/>
      <c r="ET127" s="262"/>
      <c r="EU127" s="262"/>
      <c r="EV127" s="262"/>
      <c r="EW127" s="262"/>
      <c r="EX127" s="262"/>
      <c r="EY127" s="262"/>
      <c r="EZ127" s="262"/>
      <c r="FA127" s="262"/>
      <c r="FB127" s="262"/>
      <c r="FC127" s="262"/>
      <c r="FD127" s="262"/>
      <c r="FE127" s="262"/>
      <c r="FF127" s="262"/>
      <c r="FG127" s="262"/>
      <c r="FH127" s="262"/>
      <c r="FI127" s="262"/>
      <c r="FJ127" s="262"/>
      <c r="FK127" s="262"/>
      <c r="FL127" s="262"/>
      <c r="FM127" s="262"/>
      <c r="FN127" s="262"/>
      <c r="FO127" s="262"/>
      <c r="FP127" s="262"/>
      <c r="FQ127" s="262"/>
      <c r="FR127" s="262"/>
      <c r="FS127" s="262"/>
      <c r="FT127" s="262"/>
      <c r="FU127" s="262"/>
      <c r="FV127" s="262"/>
      <c r="FW127" s="262"/>
      <c r="FX127" s="262"/>
      <c r="FY127" s="262"/>
      <c r="FZ127" s="262"/>
      <c r="GA127" s="262"/>
      <c r="GB127" s="262"/>
      <c r="GC127" s="262"/>
      <c r="GD127" s="262"/>
      <c r="GE127" s="262"/>
      <c r="GF127" s="262"/>
      <c r="GG127" s="262"/>
      <c r="GH127" s="262"/>
      <c r="GI127" s="262"/>
      <c r="GJ127" s="262"/>
      <c r="GK127" s="262"/>
      <c r="GL127" s="262"/>
      <c r="GM127" s="262"/>
      <c r="GN127" s="262"/>
      <c r="GO127" s="262"/>
      <c r="GP127" s="262"/>
      <c r="GQ127" s="262"/>
      <c r="GR127" s="262"/>
      <c r="GS127" s="262"/>
      <c r="GT127" s="262"/>
      <c r="GU127" s="262"/>
      <c r="GV127" s="262"/>
      <c r="GW127" s="262"/>
      <c r="GX127" s="262"/>
      <c r="GY127" s="262"/>
      <c r="GZ127" s="262"/>
      <c r="HA127" s="262"/>
      <c r="HB127" s="262"/>
      <c r="HC127" s="262"/>
      <c r="HD127" s="262"/>
      <c r="HE127" s="262"/>
      <c r="HF127" s="262"/>
      <c r="HG127" s="262"/>
      <c r="HH127" s="262"/>
      <c r="HI127" s="262"/>
      <c r="HJ127" s="262"/>
      <c r="HK127" s="262"/>
      <c r="HL127" s="262"/>
      <c r="HM127" s="262"/>
      <c r="HN127" s="262"/>
      <c r="HO127" s="262"/>
      <c r="HP127" s="262"/>
      <c r="HQ127" s="262"/>
      <c r="HR127" s="262"/>
      <c r="HS127" s="262"/>
      <c r="HT127" s="262"/>
      <c r="HU127" s="262"/>
      <c r="HV127" s="262"/>
      <c r="HW127" s="262"/>
      <c r="HX127" s="262"/>
      <c r="HY127" s="262"/>
      <c r="HZ127" s="262"/>
      <c r="IA127" s="262"/>
      <c r="IB127" s="262"/>
      <c r="IC127" s="262"/>
      <c r="ID127" s="262"/>
      <c r="IE127" s="262"/>
      <c r="IF127" s="262"/>
      <c r="IG127" s="262"/>
      <c r="IH127" s="262"/>
      <c r="II127" s="262"/>
      <c r="IJ127" s="262"/>
      <c r="IK127" s="262"/>
      <c r="IL127" s="262"/>
      <c r="IM127" s="262"/>
      <c r="IN127" s="262"/>
      <c r="IO127" s="262"/>
      <c r="IP127" s="262"/>
      <c r="IQ127" s="262"/>
      <c r="IR127" s="262"/>
      <c r="IS127" s="262"/>
      <c r="IT127" s="262"/>
      <c r="IU127" s="262"/>
      <c r="IV127" s="262"/>
      <c r="IW127" s="262"/>
      <c r="IX127" s="262"/>
      <c r="IY127" s="262"/>
      <c r="IZ127" s="262"/>
      <c r="JA127" s="262"/>
      <c r="JB127" s="262"/>
      <c r="JC127" s="262"/>
      <c r="JD127" s="262"/>
      <c r="JE127" s="262"/>
      <c r="JF127" s="262"/>
      <c r="JG127" s="262"/>
      <c r="JH127" s="262"/>
      <c r="JI127" s="262"/>
      <c r="JJ127" s="262"/>
      <c r="JK127" s="262"/>
      <c r="JL127" s="262"/>
      <c r="JM127" s="262"/>
      <c r="JN127" s="262"/>
      <c r="JO127" s="262"/>
      <c r="JP127" s="262"/>
      <c r="JQ127" s="262"/>
      <c r="JR127" s="262"/>
      <c r="JS127" s="262"/>
      <c r="JT127" s="262"/>
      <c r="JU127" s="262"/>
      <c r="JV127" s="262"/>
      <c r="JW127" s="262"/>
      <c r="JX127" s="262"/>
      <c r="JY127" s="262"/>
      <c r="JZ127" s="262"/>
      <c r="KA127" s="262"/>
      <c r="KB127" s="262"/>
      <c r="KC127" s="262"/>
      <c r="KD127" s="262"/>
      <c r="KE127" s="262"/>
      <c r="KF127" s="262"/>
      <c r="KG127" s="262"/>
      <c r="KH127" s="262"/>
      <c r="KI127" s="262"/>
      <c r="KJ127" s="262"/>
      <c r="KK127" s="262"/>
      <c r="KL127" s="262"/>
      <c r="KM127" s="262"/>
      <c r="KN127" s="262"/>
      <c r="KO127" s="262"/>
      <c r="KP127" s="262"/>
      <c r="KQ127" s="262"/>
      <c r="KR127" s="262"/>
      <c r="KS127" s="262"/>
      <c r="KT127" s="262"/>
      <c r="KU127" s="262"/>
      <c r="KV127" s="262"/>
      <c r="KW127" s="262"/>
      <c r="KX127" s="262"/>
      <c r="KY127" s="262"/>
      <c r="KZ127" s="262"/>
    </row>
    <row r="128" spans="1:312" s="85" customFormat="1" ht="50" customHeight="1">
      <c r="A128" s="263" t="s">
        <v>137</v>
      </c>
      <c r="B128" s="264"/>
      <c r="C128" s="86"/>
      <c r="D128" s="86"/>
      <c r="E128" s="60">
        <v>68</v>
      </c>
      <c r="F128" s="86" t="e">
        <f t="shared" si="2"/>
        <v>#DIV/0!</v>
      </c>
      <c r="G128" s="87">
        <v>2</v>
      </c>
      <c r="H128" s="87">
        <v>5</v>
      </c>
      <c r="I128" s="87"/>
      <c r="J128" s="87" t="s">
        <v>204</v>
      </c>
      <c r="K128" s="89" t="s">
        <v>729</v>
      </c>
      <c r="L128" s="90"/>
      <c r="M128" s="94"/>
      <c r="N128" s="91"/>
      <c r="O128" s="91" t="s">
        <v>335</v>
      </c>
      <c r="P128" s="92"/>
      <c r="Q128" s="95" t="s">
        <v>689</v>
      </c>
      <c r="R128" s="95" t="s">
        <v>689</v>
      </c>
      <c r="S128" s="60">
        <v>68</v>
      </c>
      <c r="T128" s="263">
        <f t="shared" si="3"/>
        <v>136</v>
      </c>
      <c r="U128" s="262"/>
      <c r="V128" s="262"/>
      <c r="W128" s="262"/>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262"/>
      <c r="BT128" s="262"/>
      <c r="BU128" s="262"/>
      <c r="BV128" s="262"/>
      <c r="BW128" s="262"/>
      <c r="BX128" s="262"/>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2"/>
      <c r="CV128" s="262"/>
      <c r="CW128" s="262"/>
      <c r="CX128" s="262"/>
      <c r="CY128" s="262"/>
      <c r="CZ128" s="262"/>
      <c r="DA128" s="262"/>
      <c r="DB128" s="262"/>
      <c r="DC128" s="262"/>
      <c r="DD128" s="262"/>
      <c r="DE128" s="262"/>
      <c r="DF128" s="262"/>
      <c r="DG128" s="262"/>
      <c r="DH128" s="262"/>
      <c r="DI128" s="262"/>
      <c r="DJ128" s="262"/>
      <c r="DK128" s="262"/>
      <c r="DL128" s="262"/>
      <c r="DM128" s="262"/>
      <c r="DN128" s="262"/>
      <c r="DO128" s="262"/>
      <c r="DP128" s="262"/>
      <c r="DQ128" s="262"/>
      <c r="DR128" s="262"/>
      <c r="DS128" s="262"/>
      <c r="DT128" s="262"/>
      <c r="DU128" s="262"/>
      <c r="DV128" s="262"/>
      <c r="DW128" s="262"/>
      <c r="DX128" s="262"/>
      <c r="DY128" s="262"/>
      <c r="DZ128" s="262"/>
      <c r="EA128" s="262"/>
      <c r="EB128" s="262"/>
      <c r="EC128" s="262"/>
      <c r="ED128" s="262"/>
      <c r="EE128" s="262"/>
      <c r="EF128" s="262"/>
      <c r="EG128" s="262"/>
      <c r="EH128" s="262"/>
      <c r="EI128" s="262"/>
      <c r="EJ128" s="262"/>
      <c r="EK128" s="262"/>
      <c r="EL128" s="262"/>
      <c r="EM128" s="262"/>
      <c r="EN128" s="262"/>
      <c r="EO128" s="262"/>
      <c r="EP128" s="262"/>
      <c r="EQ128" s="262"/>
      <c r="ER128" s="262"/>
      <c r="ES128" s="262"/>
      <c r="ET128" s="262"/>
      <c r="EU128" s="262"/>
      <c r="EV128" s="262"/>
      <c r="EW128" s="262"/>
      <c r="EX128" s="262"/>
      <c r="EY128" s="262"/>
      <c r="EZ128" s="262"/>
      <c r="FA128" s="262"/>
      <c r="FB128" s="262"/>
      <c r="FC128" s="262"/>
      <c r="FD128" s="262"/>
      <c r="FE128" s="262"/>
      <c r="FF128" s="262"/>
      <c r="FG128" s="262"/>
      <c r="FH128" s="262"/>
      <c r="FI128" s="262"/>
      <c r="FJ128" s="262"/>
      <c r="FK128" s="262"/>
      <c r="FL128" s="262"/>
      <c r="FM128" s="262"/>
      <c r="FN128" s="262"/>
      <c r="FO128" s="262"/>
      <c r="FP128" s="262"/>
      <c r="FQ128" s="262"/>
      <c r="FR128" s="262"/>
      <c r="FS128" s="262"/>
      <c r="FT128" s="262"/>
      <c r="FU128" s="262"/>
      <c r="FV128" s="262"/>
      <c r="FW128" s="262"/>
      <c r="FX128" s="262"/>
      <c r="FY128" s="262"/>
      <c r="FZ128" s="262"/>
      <c r="GA128" s="262"/>
      <c r="GB128" s="262"/>
      <c r="GC128" s="262"/>
      <c r="GD128" s="262"/>
      <c r="GE128" s="262"/>
      <c r="GF128" s="262"/>
      <c r="GG128" s="262"/>
      <c r="GH128" s="262"/>
      <c r="GI128" s="262"/>
      <c r="GJ128" s="262"/>
      <c r="GK128" s="262"/>
      <c r="GL128" s="262"/>
      <c r="GM128" s="262"/>
      <c r="GN128" s="262"/>
      <c r="GO128" s="262"/>
      <c r="GP128" s="262"/>
      <c r="GQ128" s="262"/>
      <c r="GR128" s="262"/>
      <c r="GS128" s="262"/>
      <c r="GT128" s="262"/>
      <c r="GU128" s="262"/>
      <c r="GV128" s="262"/>
      <c r="GW128" s="262"/>
      <c r="GX128" s="262"/>
      <c r="GY128" s="262"/>
      <c r="GZ128" s="262"/>
      <c r="HA128" s="262"/>
      <c r="HB128" s="262"/>
      <c r="HC128" s="262"/>
      <c r="HD128" s="262"/>
      <c r="HE128" s="262"/>
      <c r="HF128" s="262"/>
      <c r="HG128" s="262"/>
      <c r="HH128" s="262"/>
      <c r="HI128" s="262"/>
      <c r="HJ128" s="262"/>
      <c r="HK128" s="262"/>
      <c r="HL128" s="262"/>
      <c r="HM128" s="262"/>
      <c r="HN128" s="262"/>
      <c r="HO128" s="262"/>
      <c r="HP128" s="262"/>
      <c r="HQ128" s="262"/>
      <c r="HR128" s="262"/>
      <c r="HS128" s="262"/>
      <c r="HT128" s="262"/>
      <c r="HU128" s="262"/>
      <c r="HV128" s="262"/>
      <c r="HW128" s="262"/>
      <c r="HX128" s="262"/>
      <c r="HY128" s="262"/>
      <c r="HZ128" s="262"/>
      <c r="IA128" s="262"/>
      <c r="IB128" s="262"/>
      <c r="IC128" s="262"/>
      <c r="ID128" s="262"/>
      <c r="IE128" s="262"/>
      <c r="IF128" s="262"/>
      <c r="IG128" s="262"/>
      <c r="IH128" s="262"/>
      <c r="II128" s="262"/>
      <c r="IJ128" s="262"/>
      <c r="IK128" s="262"/>
      <c r="IL128" s="262"/>
      <c r="IM128" s="262"/>
      <c r="IN128" s="262"/>
      <c r="IO128" s="262"/>
      <c r="IP128" s="262"/>
      <c r="IQ128" s="262"/>
      <c r="IR128" s="262"/>
      <c r="IS128" s="262"/>
      <c r="IT128" s="262"/>
      <c r="IU128" s="262"/>
      <c r="IV128" s="262"/>
      <c r="IW128" s="262"/>
      <c r="IX128" s="262"/>
      <c r="IY128" s="262"/>
      <c r="IZ128" s="262"/>
      <c r="JA128" s="262"/>
      <c r="JB128" s="262"/>
      <c r="JC128" s="262"/>
      <c r="JD128" s="262"/>
      <c r="JE128" s="262"/>
      <c r="JF128" s="262"/>
      <c r="JG128" s="262"/>
      <c r="JH128" s="262"/>
      <c r="JI128" s="262"/>
      <c r="JJ128" s="262"/>
      <c r="JK128" s="262"/>
      <c r="JL128" s="262"/>
      <c r="JM128" s="262"/>
      <c r="JN128" s="262"/>
      <c r="JO128" s="262"/>
      <c r="JP128" s="262"/>
      <c r="JQ128" s="262"/>
      <c r="JR128" s="262"/>
      <c r="JS128" s="262"/>
      <c r="JT128" s="262"/>
      <c r="JU128" s="262"/>
      <c r="JV128" s="262"/>
      <c r="JW128" s="262"/>
      <c r="JX128" s="262"/>
      <c r="JY128" s="262"/>
      <c r="JZ128" s="262"/>
      <c r="KA128" s="262"/>
      <c r="KB128" s="262"/>
      <c r="KC128" s="262"/>
      <c r="KD128" s="262"/>
      <c r="KE128" s="262"/>
      <c r="KF128" s="262"/>
      <c r="KG128" s="262"/>
      <c r="KH128" s="262"/>
      <c r="KI128" s="262"/>
      <c r="KJ128" s="262"/>
      <c r="KK128" s="262"/>
      <c r="KL128" s="262"/>
      <c r="KM128" s="262"/>
      <c r="KN128" s="262"/>
      <c r="KO128" s="262"/>
      <c r="KP128" s="262"/>
      <c r="KQ128" s="262"/>
      <c r="KR128" s="262"/>
      <c r="KS128" s="262"/>
      <c r="KT128" s="262"/>
      <c r="KU128" s="262"/>
      <c r="KV128" s="262"/>
      <c r="KW128" s="262"/>
      <c r="KX128" s="262"/>
      <c r="KY128" s="262"/>
      <c r="KZ128" s="262"/>
    </row>
    <row r="129" spans="1:312" s="85" customFormat="1" ht="50" customHeight="1">
      <c r="A129" s="263" t="s">
        <v>181</v>
      </c>
      <c r="B129" s="264"/>
      <c r="C129" s="86"/>
      <c r="D129" s="86"/>
      <c r="E129" s="60">
        <v>184</v>
      </c>
      <c r="F129" s="86" t="e">
        <f t="shared" si="2"/>
        <v>#DIV/0!</v>
      </c>
      <c r="G129" s="87">
        <v>2</v>
      </c>
      <c r="H129" s="87">
        <v>5</v>
      </c>
      <c r="I129" s="87"/>
      <c r="J129" s="264" t="s">
        <v>204</v>
      </c>
      <c r="K129" s="265" t="s">
        <v>730</v>
      </c>
      <c r="L129" s="97"/>
      <c r="M129" s="97" t="s">
        <v>689</v>
      </c>
      <c r="N129" s="99"/>
      <c r="O129" s="99" t="s">
        <v>335</v>
      </c>
      <c r="P129" s="266"/>
      <c r="Q129" s="93" t="s">
        <v>689</v>
      </c>
      <c r="R129" s="93" t="s">
        <v>689</v>
      </c>
      <c r="S129" s="60">
        <v>184</v>
      </c>
      <c r="T129" s="263">
        <f t="shared" si="3"/>
        <v>368</v>
      </c>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c r="AP129" s="262"/>
      <c r="AQ129" s="262"/>
      <c r="AR129" s="262"/>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262"/>
      <c r="BT129" s="262"/>
      <c r="BU129" s="262"/>
      <c r="BV129" s="262"/>
      <c r="BW129" s="262"/>
      <c r="BX129" s="262"/>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2"/>
      <c r="CV129" s="262"/>
      <c r="CW129" s="262"/>
      <c r="CX129" s="262"/>
      <c r="CY129" s="262"/>
      <c r="CZ129" s="262"/>
      <c r="DA129" s="262"/>
      <c r="DB129" s="262"/>
      <c r="DC129" s="262"/>
      <c r="DD129" s="262"/>
      <c r="DE129" s="262"/>
      <c r="DF129" s="262"/>
      <c r="DG129" s="262"/>
      <c r="DH129" s="262"/>
      <c r="DI129" s="262"/>
      <c r="DJ129" s="262"/>
      <c r="DK129" s="262"/>
      <c r="DL129" s="262"/>
      <c r="DM129" s="262"/>
      <c r="DN129" s="262"/>
      <c r="DO129" s="262"/>
      <c r="DP129" s="262"/>
      <c r="DQ129" s="262"/>
      <c r="DR129" s="262"/>
      <c r="DS129" s="262"/>
      <c r="DT129" s="262"/>
      <c r="DU129" s="262"/>
      <c r="DV129" s="262"/>
      <c r="DW129" s="262"/>
      <c r="DX129" s="262"/>
      <c r="DY129" s="262"/>
      <c r="DZ129" s="262"/>
      <c r="EA129" s="262"/>
      <c r="EB129" s="262"/>
      <c r="EC129" s="262"/>
      <c r="ED129" s="262"/>
      <c r="EE129" s="262"/>
      <c r="EF129" s="262"/>
      <c r="EG129" s="262"/>
      <c r="EH129" s="262"/>
      <c r="EI129" s="262"/>
      <c r="EJ129" s="262"/>
      <c r="EK129" s="262"/>
      <c r="EL129" s="262"/>
      <c r="EM129" s="262"/>
      <c r="EN129" s="262"/>
      <c r="EO129" s="262"/>
      <c r="EP129" s="262"/>
      <c r="EQ129" s="262"/>
      <c r="ER129" s="262"/>
      <c r="ES129" s="262"/>
      <c r="ET129" s="262"/>
      <c r="EU129" s="262"/>
      <c r="EV129" s="262"/>
      <c r="EW129" s="262"/>
      <c r="EX129" s="262"/>
      <c r="EY129" s="262"/>
      <c r="EZ129" s="262"/>
      <c r="FA129" s="262"/>
      <c r="FB129" s="262"/>
      <c r="FC129" s="262"/>
      <c r="FD129" s="262"/>
      <c r="FE129" s="262"/>
      <c r="FF129" s="262"/>
      <c r="FG129" s="262"/>
      <c r="FH129" s="262"/>
      <c r="FI129" s="262"/>
      <c r="FJ129" s="262"/>
      <c r="FK129" s="262"/>
      <c r="FL129" s="262"/>
      <c r="FM129" s="262"/>
      <c r="FN129" s="262"/>
      <c r="FO129" s="262"/>
      <c r="FP129" s="262"/>
      <c r="FQ129" s="262"/>
      <c r="FR129" s="262"/>
      <c r="FS129" s="262"/>
      <c r="FT129" s="262"/>
      <c r="FU129" s="262"/>
      <c r="FV129" s="262"/>
      <c r="FW129" s="262"/>
      <c r="FX129" s="262"/>
      <c r="FY129" s="262"/>
      <c r="FZ129" s="262"/>
      <c r="GA129" s="262"/>
      <c r="GB129" s="262"/>
      <c r="GC129" s="262"/>
      <c r="GD129" s="262"/>
      <c r="GE129" s="262"/>
      <c r="GF129" s="262"/>
      <c r="GG129" s="262"/>
      <c r="GH129" s="262"/>
      <c r="GI129" s="262"/>
      <c r="GJ129" s="262"/>
      <c r="GK129" s="262"/>
      <c r="GL129" s="262"/>
      <c r="GM129" s="262"/>
      <c r="GN129" s="262"/>
      <c r="GO129" s="262"/>
      <c r="GP129" s="262"/>
      <c r="GQ129" s="262"/>
      <c r="GR129" s="262"/>
      <c r="GS129" s="262"/>
      <c r="GT129" s="262"/>
      <c r="GU129" s="262"/>
      <c r="GV129" s="262"/>
      <c r="GW129" s="262"/>
      <c r="GX129" s="262"/>
      <c r="GY129" s="262"/>
      <c r="GZ129" s="262"/>
      <c r="HA129" s="262"/>
      <c r="HB129" s="262"/>
      <c r="HC129" s="262"/>
      <c r="HD129" s="262"/>
      <c r="HE129" s="262"/>
      <c r="HF129" s="262"/>
      <c r="HG129" s="262"/>
      <c r="HH129" s="262"/>
      <c r="HI129" s="262"/>
      <c r="HJ129" s="262"/>
      <c r="HK129" s="262"/>
      <c r="HL129" s="262"/>
      <c r="HM129" s="262"/>
      <c r="HN129" s="262"/>
      <c r="HO129" s="262"/>
      <c r="HP129" s="262"/>
      <c r="HQ129" s="262"/>
      <c r="HR129" s="262"/>
      <c r="HS129" s="262"/>
      <c r="HT129" s="262"/>
      <c r="HU129" s="262"/>
      <c r="HV129" s="262"/>
      <c r="HW129" s="262"/>
      <c r="HX129" s="262"/>
      <c r="HY129" s="262"/>
      <c r="HZ129" s="262"/>
      <c r="IA129" s="262"/>
      <c r="IB129" s="262"/>
      <c r="IC129" s="262"/>
      <c r="ID129" s="262"/>
      <c r="IE129" s="262"/>
      <c r="IF129" s="262"/>
      <c r="IG129" s="262"/>
      <c r="IH129" s="262"/>
      <c r="II129" s="262"/>
      <c r="IJ129" s="262"/>
      <c r="IK129" s="262"/>
      <c r="IL129" s="262"/>
      <c r="IM129" s="262"/>
      <c r="IN129" s="262"/>
      <c r="IO129" s="262"/>
      <c r="IP129" s="262"/>
      <c r="IQ129" s="262"/>
      <c r="IR129" s="262"/>
      <c r="IS129" s="262"/>
      <c r="IT129" s="262"/>
      <c r="IU129" s="262"/>
      <c r="IV129" s="262"/>
      <c r="IW129" s="262"/>
      <c r="IX129" s="262"/>
      <c r="IY129" s="262"/>
      <c r="IZ129" s="262"/>
      <c r="JA129" s="262"/>
      <c r="JB129" s="262"/>
      <c r="JC129" s="262"/>
      <c r="JD129" s="262"/>
      <c r="JE129" s="262"/>
      <c r="JF129" s="262"/>
      <c r="JG129" s="262"/>
      <c r="JH129" s="262"/>
      <c r="JI129" s="262"/>
      <c r="JJ129" s="262"/>
      <c r="JK129" s="262"/>
      <c r="JL129" s="262"/>
      <c r="JM129" s="262"/>
      <c r="JN129" s="262"/>
      <c r="JO129" s="262"/>
      <c r="JP129" s="262"/>
      <c r="JQ129" s="262"/>
      <c r="JR129" s="262"/>
      <c r="JS129" s="262"/>
      <c r="JT129" s="262"/>
      <c r="JU129" s="262"/>
      <c r="JV129" s="262"/>
      <c r="JW129" s="262"/>
      <c r="JX129" s="262"/>
      <c r="JY129" s="262"/>
      <c r="JZ129" s="262"/>
      <c r="KA129" s="262"/>
      <c r="KB129" s="262"/>
      <c r="KC129" s="262"/>
      <c r="KD129" s="262"/>
      <c r="KE129" s="262"/>
      <c r="KF129" s="262"/>
      <c r="KG129" s="262"/>
      <c r="KH129" s="262"/>
      <c r="KI129" s="262"/>
      <c r="KJ129" s="262"/>
      <c r="KK129" s="262"/>
      <c r="KL129" s="262"/>
      <c r="KM129" s="262"/>
      <c r="KN129" s="262"/>
      <c r="KO129" s="262"/>
      <c r="KP129" s="262"/>
      <c r="KQ129" s="262"/>
      <c r="KR129" s="262"/>
      <c r="KS129" s="262"/>
      <c r="KT129" s="262"/>
      <c r="KU129" s="262"/>
      <c r="KV129" s="262"/>
      <c r="KW129" s="262"/>
      <c r="KX129" s="262"/>
      <c r="KY129" s="262"/>
      <c r="KZ129" s="262"/>
    </row>
    <row r="130" spans="1:312" s="85" customFormat="1" ht="50" customHeight="1">
      <c r="A130" s="263" t="s">
        <v>156</v>
      </c>
      <c r="B130" s="264"/>
      <c r="C130" s="86"/>
      <c r="D130" s="86"/>
      <c r="E130" s="60">
        <v>68</v>
      </c>
      <c r="F130" s="86" t="e">
        <f t="shared" si="2"/>
        <v>#DIV/0!</v>
      </c>
      <c r="G130" s="87">
        <v>2</v>
      </c>
      <c r="H130" s="87">
        <v>5</v>
      </c>
      <c r="I130" s="87"/>
      <c r="J130" s="87" t="s">
        <v>204</v>
      </c>
      <c r="K130" s="89" t="s">
        <v>407</v>
      </c>
      <c r="L130" s="94"/>
      <c r="M130" s="94"/>
      <c r="N130" s="91"/>
      <c r="O130" s="91" t="s">
        <v>335</v>
      </c>
      <c r="P130" s="92"/>
      <c r="Q130" s="95" t="s">
        <v>689</v>
      </c>
      <c r="R130" s="95" t="s">
        <v>689</v>
      </c>
      <c r="S130" s="60">
        <v>68</v>
      </c>
      <c r="T130" s="263">
        <f t="shared" si="3"/>
        <v>136</v>
      </c>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262"/>
      <c r="BT130" s="262"/>
      <c r="BU130" s="262"/>
      <c r="BV130" s="262"/>
      <c r="BW130" s="262"/>
      <c r="BX130" s="262"/>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2"/>
      <c r="CV130" s="262"/>
      <c r="CW130" s="262"/>
      <c r="CX130" s="262"/>
      <c r="CY130" s="262"/>
      <c r="CZ130" s="262"/>
      <c r="DA130" s="262"/>
      <c r="DB130" s="262"/>
      <c r="DC130" s="262"/>
      <c r="DD130" s="262"/>
      <c r="DE130" s="262"/>
      <c r="DF130" s="262"/>
      <c r="DG130" s="262"/>
      <c r="DH130" s="262"/>
      <c r="DI130" s="262"/>
      <c r="DJ130" s="262"/>
      <c r="DK130" s="262"/>
      <c r="DL130" s="262"/>
      <c r="DM130" s="262"/>
      <c r="DN130" s="262"/>
      <c r="DO130" s="262"/>
      <c r="DP130" s="262"/>
      <c r="DQ130" s="262"/>
      <c r="DR130" s="262"/>
      <c r="DS130" s="262"/>
      <c r="DT130" s="262"/>
      <c r="DU130" s="262"/>
      <c r="DV130" s="262"/>
      <c r="DW130" s="262"/>
      <c r="DX130" s="262"/>
      <c r="DY130" s="262"/>
      <c r="DZ130" s="262"/>
      <c r="EA130" s="262"/>
      <c r="EB130" s="262"/>
      <c r="EC130" s="262"/>
      <c r="ED130" s="262"/>
      <c r="EE130" s="262"/>
      <c r="EF130" s="262"/>
      <c r="EG130" s="262"/>
      <c r="EH130" s="262"/>
      <c r="EI130" s="262"/>
      <c r="EJ130" s="262"/>
      <c r="EK130" s="262"/>
      <c r="EL130" s="262"/>
      <c r="EM130" s="262"/>
      <c r="EN130" s="262"/>
      <c r="EO130" s="262"/>
      <c r="EP130" s="262"/>
      <c r="EQ130" s="262"/>
      <c r="ER130" s="262"/>
      <c r="ES130" s="262"/>
      <c r="ET130" s="262"/>
      <c r="EU130" s="262"/>
      <c r="EV130" s="262"/>
      <c r="EW130" s="262"/>
      <c r="EX130" s="262"/>
      <c r="EY130" s="262"/>
      <c r="EZ130" s="262"/>
      <c r="FA130" s="262"/>
      <c r="FB130" s="262"/>
      <c r="FC130" s="262"/>
      <c r="FD130" s="262"/>
      <c r="FE130" s="262"/>
      <c r="FF130" s="262"/>
      <c r="FG130" s="262"/>
      <c r="FH130" s="262"/>
      <c r="FI130" s="262"/>
      <c r="FJ130" s="262"/>
      <c r="FK130" s="262"/>
      <c r="FL130" s="262"/>
      <c r="FM130" s="262"/>
      <c r="FN130" s="262"/>
      <c r="FO130" s="262"/>
      <c r="FP130" s="262"/>
      <c r="FQ130" s="262"/>
      <c r="FR130" s="262"/>
      <c r="FS130" s="262"/>
      <c r="FT130" s="262"/>
      <c r="FU130" s="262"/>
      <c r="FV130" s="262"/>
      <c r="FW130" s="262"/>
      <c r="FX130" s="262"/>
      <c r="FY130" s="262"/>
      <c r="FZ130" s="262"/>
      <c r="GA130" s="262"/>
      <c r="GB130" s="262"/>
      <c r="GC130" s="262"/>
      <c r="GD130" s="262"/>
      <c r="GE130" s="262"/>
      <c r="GF130" s="262"/>
      <c r="GG130" s="262"/>
      <c r="GH130" s="262"/>
      <c r="GI130" s="262"/>
      <c r="GJ130" s="262"/>
      <c r="GK130" s="262"/>
      <c r="GL130" s="262"/>
      <c r="GM130" s="262"/>
      <c r="GN130" s="262"/>
      <c r="GO130" s="262"/>
      <c r="GP130" s="262"/>
      <c r="GQ130" s="262"/>
      <c r="GR130" s="262"/>
      <c r="GS130" s="262"/>
      <c r="GT130" s="262"/>
      <c r="GU130" s="262"/>
      <c r="GV130" s="262"/>
      <c r="GW130" s="262"/>
      <c r="GX130" s="262"/>
      <c r="GY130" s="262"/>
      <c r="GZ130" s="262"/>
      <c r="HA130" s="262"/>
      <c r="HB130" s="262"/>
      <c r="HC130" s="262"/>
      <c r="HD130" s="262"/>
      <c r="HE130" s="262"/>
      <c r="HF130" s="262"/>
      <c r="HG130" s="262"/>
      <c r="HH130" s="262"/>
      <c r="HI130" s="262"/>
      <c r="HJ130" s="262"/>
      <c r="HK130" s="262"/>
      <c r="HL130" s="262"/>
      <c r="HM130" s="262"/>
      <c r="HN130" s="262"/>
      <c r="HO130" s="262"/>
      <c r="HP130" s="262"/>
      <c r="HQ130" s="262"/>
      <c r="HR130" s="262"/>
      <c r="HS130" s="262"/>
      <c r="HT130" s="262"/>
      <c r="HU130" s="262"/>
      <c r="HV130" s="262"/>
      <c r="HW130" s="262"/>
      <c r="HX130" s="262"/>
      <c r="HY130" s="262"/>
      <c r="HZ130" s="262"/>
      <c r="IA130" s="262"/>
      <c r="IB130" s="262"/>
      <c r="IC130" s="262"/>
      <c r="ID130" s="262"/>
      <c r="IE130" s="262"/>
      <c r="IF130" s="262"/>
      <c r="IG130" s="262"/>
      <c r="IH130" s="262"/>
      <c r="II130" s="262"/>
      <c r="IJ130" s="262"/>
      <c r="IK130" s="262"/>
      <c r="IL130" s="262"/>
      <c r="IM130" s="262"/>
      <c r="IN130" s="262"/>
      <c r="IO130" s="262"/>
      <c r="IP130" s="262"/>
      <c r="IQ130" s="262"/>
      <c r="IR130" s="262"/>
      <c r="IS130" s="262"/>
      <c r="IT130" s="262"/>
      <c r="IU130" s="262"/>
      <c r="IV130" s="262"/>
      <c r="IW130" s="262"/>
      <c r="IX130" s="262"/>
      <c r="IY130" s="262"/>
      <c r="IZ130" s="262"/>
      <c r="JA130" s="262"/>
      <c r="JB130" s="262"/>
      <c r="JC130" s="262"/>
      <c r="JD130" s="262"/>
      <c r="JE130" s="262"/>
      <c r="JF130" s="262"/>
      <c r="JG130" s="262"/>
      <c r="JH130" s="262"/>
      <c r="JI130" s="262"/>
      <c r="JJ130" s="262"/>
      <c r="JK130" s="262"/>
      <c r="JL130" s="262"/>
      <c r="JM130" s="262"/>
      <c r="JN130" s="262"/>
      <c r="JO130" s="262"/>
      <c r="JP130" s="262"/>
      <c r="JQ130" s="262"/>
      <c r="JR130" s="262"/>
      <c r="JS130" s="262"/>
      <c r="JT130" s="262"/>
      <c r="JU130" s="262"/>
      <c r="JV130" s="262"/>
      <c r="JW130" s="262"/>
      <c r="JX130" s="262"/>
      <c r="JY130" s="262"/>
      <c r="JZ130" s="262"/>
      <c r="KA130" s="262"/>
      <c r="KB130" s="262"/>
      <c r="KC130" s="262"/>
      <c r="KD130" s="262"/>
      <c r="KE130" s="262"/>
      <c r="KF130" s="262"/>
      <c r="KG130" s="262"/>
      <c r="KH130" s="262"/>
      <c r="KI130" s="262"/>
      <c r="KJ130" s="262"/>
      <c r="KK130" s="262"/>
      <c r="KL130" s="262"/>
      <c r="KM130" s="262"/>
      <c r="KN130" s="262"/>
      <c r="KO130" s="262"/>
      <c r="KP130" s="262"/>
      <c r="KQ130" s="262"/>
      <c r="KR130" s="262"/>
      <c r="KS130" s="262"/>
      <c r="KT130" s="262"/>
      <c r="KU130" s="262"/>
      <c r="KV130" s="262"/>
      <c r="KW130" s="262"/>
      <c r="KX130" s="262"/>
      <c r="KY130" s="262"/>
      <c r="KZ130" s="262"/>
    </row>
    <row r="131" spans="1:312" s="96" customFormat="1" ht="50" customHeight="1">
      <c r="A131" s="263" t="s">
        <v>158</v>
      </c>
      <c r="B131" s="264"/>
      <c r="C131" s="86"/>
      <c r="D131" s="86"/>
      <c r="E131" s="60">
        <v>68</v>
      </c>
      <c r="F131" s="86" t="e">
        <f t="shared" ref="F131:F151" si="4">C131/D131</f>
        <v>#DIV/0!</v>
      </c>
      <c r="G131" s="87">
        <v>2</v>
      </c>
      <c r="H131" s="87">
        <v>5</v>
      </c>
      <c r="I131" s="87"/>
      <c r="J131" s="87" t="s">
        <v>204</v>
      </c>
      <c r="K131" s="89" t="s">
        <v>731</v>
      </c>
      <c r="L131" s="94"/>
      <c r="M131" s="94"/>
      <c r="N131" s="91"/>
      <c r="O131" s="91" t="s">
        <v>335</v>
      </c>
      <c r="P131" s="92"/>
      <c r="Q131" s="95" t="s">
        <v>689</v>
      </c>
      <c r="R131" s="95" t="s">
        <v>689</v>
      </c>
      <c r="S131" s="60">
        <v>68</v>
      </c>
      <c r="T131" s="263">
        <f t="shared" si="3"/>
        <v>136</v>
      </c>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262"/>
      <c r="BT131" s="262"/>
      <c r="BU131" s="262"/>
      <c r="BV131" s="262"/>
      <c r="BW131" s="262"/>
      <c r="BX131" s="262"/>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2"/>
      <c r="CV131" s="262"/>
      <c r="CW131" s="262"/>
      <c r="CX131" s="262"/>
      <c r="CY131" s="262"/>
      <c r="CZ131" s="262"/>
      <c r="DA131" s="262"/>
      <c r="DB131" s="262"/>
      <c r="DC131" s="262"/>
      <c r="DD131" s="262"/>
      <c r="DE131" s="262"/>
      <c r="DF131" s="262"/>
      <c r="DG131" s="262"/>
      <c r="DH131" s="262"/>
      <c r="DI131" s="262"/>
      <c r="DJ131" s="262"/>
      <c r="DK131" s="262"/>
      <c r="DL131" s="262"/>
      <c r="DM131" s="262"/>
      <c r="DN131" s="262"/>
      <c r="DO131" s="262"/>
      <c r="DP131" s="262"/>
      <c r="DQ131" s="262"/>
      <c r="DR131" s="262"/>
      <c r="DS131" s="262"/>
      <c r="DT131" s="262"/>
      <c r="DU131" s="262"/>
      <c r="DV131" s="262"/>
      <c r="DW131" s="262"/>
      <c r="DX131" s="262"/>
      <c r="DY131" s="262"/>
      <c r="DZ131" s="262"/>
      <c r="EA131" s="262"/>
      <c r="EB131" s="262"/>
      <c r="EC131" s="262"/>
      <c r="ED131" s="262"/>
      <c r="EE131" s="262"/>
      <c r="EF131" s="262"/>
      <c r="EG131" s="262"/>
      <c r="EH131" s="262"/>
      <c r="EI131" s="262"/>
      <c r="EJ131" s="262"/>
      <c r="EK131" s="262"/>
      <c r="EL131" s="262"/>
      <c r="EM131" s="262"/>
      <c r="EN131" s="262"/>
      <c r="EO131" s="262"/>
      <c r="EP131" s="262"/>
      <c r="EQ131" s="262"/>
      <c r="ER131" s="262"/>
      <c r="ES131" s="262"/>
      <c r="ET131" s="262"/>
      <c r="EU131" s="262"/>
      <c r="EV131" s="262"/>
      <c r="EW131" s="262"/>
      <c r="EX131" s="262"/>
      <c r="EY131" s="262"/>
      <c r="EZ131" s="262"/>
      <c r="FA131" s="262"/>
      <c r="FB131" s="262"/>
      <c r="FC131" s="262"/>
      <c r="FD131" s="262"/>
      <c r="FE131" s="262"/>
      <c r="FF131" s="262"/>
      <c r="FG131" s="262"/>
      <c r="FH131" s="262"/>
      <c r="FI131" s="262"/>
      <c r="FJ131" s="262"/>
      <c r="FK131" s="262"/>
      <c r="FL131" s="262"/>
      <c r="FM131" s="262"/>
      <c r="FN131" s="262"/>
      <c r="FO131" s="262"/>
      <c r="FP131" s="262"/>
      <c r="FQ131" s="262"/>
      <c r="FR131" s="262"/>
      <c r="FS131" s="262"/>
      <c r="FT131" s="262"/>
      <c r="FU131" s="262"/>
      <c r="FV131" s="262"/>
      <c r="FW131" s="262"/>
      <c r="FX131" s="262"/>
      <c r="FY131" s="262"/>
      <c r="FZ131" s="262"/>
      <c r="GA131" s="262"/>
      <c r="GB131" s="262"/>
      <c r="GC131" s="262"/>
      <c r="GD131" s="262"/>
      <c r="GE131" s="262"/>
      <c r="GF131" s="262"/>
      <c r="GG131" s="262"/>
      <c r="GH131" s="262"/>
      <c r="GI131" s="262"/>
      <c r="GJ131" s="262"/>
      <c r="GK131" s="262"/>
      <c r="GL131" s="262"/>
      <c r="GM131" s="262"/>
      <c r="GN131" s="262"/>
      <c r="GO131" s="262"/>
      <c r="GP131" s="262"/>
      <c r="GQ131" s="262"/>
      <c r="GR131" s="262"/>
      <c r="GS131" s="262"/>
      <c r="GT131" s="262"/>
      <c r="GU131" s="262"/>
      <c r="GV131" s="262"/>
      <c r="GW131" s="262"/>
      <c r="GX131" s="262"/>
      <c r="GY131" s="262"/>
      <c r="GZ131" s="262"/>
      <c r="HA131" s="262"/>
      <c r="HB131" s="262"/>
      <c r="HC131" s="262"/>
      <c r="HD131" s="262"/>
      <c r="HE131" s="262"/>
      <c r="HF131" s="262"/>
      <c r="HG131" s="262"/>
      <c r="HH131" s="262"/>
      <c r="HI131" s="262"/>
      <c r="HJ131" s="262"/>
      <c r="HK131" s="262"/>
      <c r="HL131" s="262"/>
      <c r="HM131" s="262"/>
      <c r="HN131" s="262"/>
      <c r="HO131" s="262"/>
      <c r="HP131" s="262"/>
      <c r="HQ131" s="262"/>
      <c r="HR131" s="262"/>
      <c r="HS131" s="262"/>
      <c r="HT131" s="262"/>
      <c r="HU131" s="262"/>
      <c r="HV131" s="262"/>
      <c r="HW131" s="262"/>
      <c r="HX131" s="262"/>
      <c r="HY131" s="262"/>
      <c r="HZ131" s="262"/>
      <c r="IA131" s="262"/>
      <c r="IB131" s="262"/>
      <c r="IC131" s="262"/>
      <c r="ID131" s="262"/>
      <c r="IE131" s="262"/>
      <c r="IF131" s="262"/>
      <c r="IG131" s="262"/>
      <c r="IH131" s="262"/>
      <c r="II131" s="262"/>
      <c r="IJ131" s="262"/>
      <c r="IK131" s="262"/>
      <c r="IL131" s="262"/>
      <c r="IM131" s="262"/>
      <c r="IN131" s="262"/>
      <c r="IO131" s="262"/>
      <c r="IP131" s="262"/>
      <c r="IQ131" s="262"/>
      <c r="IR131" s="262"/>
      <c r="IS131" s="262"/>
      <c r="IT131" s="262"/>
      <c r="IU131" s="262"/>
      <c r="IV131" s="262"/>
      <c r="IW131" s="262"/>
      <c r="IX131" s="262"/>
      <c r="IY131" s="262"/>
      <c r="IZ131" s="262"/>
      <c r="JA131" s="262"/>
      <c r="JB131" s="262"/>
      <c r="JC131" s="262"/>
      <c r="JD131" s="262"/>
      <c r="JE131" s="262"/>
      <c r="JF131" s="262"/>
      <c r="JG131" s="262"/>
      <c r="JH131" s="262"/>
      <c r="JI131" s="262"/>
      <c r="JJ131" s="262"/>
      <c r="JK131" s="262"/>
      <c r="JL131" s="262"/>
      <c r="JM131" s="262"/>
      <c r="JN131" s="262"/>
      <c r="JO131" s="262"/>
      <c r="JP131" s="262"/>
      <c r="JQ131" s="262"/>
      <c r="JR131" s="262"/>
      <c r="JS131" s="262"/>
      <c r="JT131" s="262"/>
      <c r="JU131" s="262"/>
      <c r="JV131" s="262"/>
      <c r="JW131" s="262"/>
      <c r="JX131" s="262"/>
      <c r="JY131" s="262"/>
      <c r="JZ131" s="262"/>
      <c r="KA131" s="262"/>
      <c r="KB131" s="262"/>
      <c r="KC131" s="262"/>
      <c r="KD131" s="262"/>
      <c r="KE131" s="262"/>
      <c r="KF131" s="262"/>
      <c r="KG131" s="262"/>
      <c r="KH131" s="262"/>
      <c r="KI131" s="262"/>
      <c r="KJ131" s="262"/>
      <c r="KK131" s="262"/>
      <c r="KL131" s="262"/>
      <c r="KM131" s="262"/>
      <c r="KN131" s="262"/>
      <c r="KO131" s="262"/>
      <c r="KP131" s="262"/>
      <c r="KQ131" s="262"/>
      <c r="KR131" s="262"/>
      <c r="KS131" s="262"/>
      <c r="KT131" s="262"/>
      <c r="KU131" s="262"/>
      <c r="KV131" s="262"/>
      <c r="KW131" s="262"/>
      <c r="KX131" s="262"/>
      <c r="KY131" s="262"/>
      <c r="KZ131" s="262"/>
    </row>
    <row r="132" spans="1:312" s="96" customFormat="1" ht="50" customHeight="1">
      <c r="A132" s="263" t="s">
        <v>159</v>
      </c>
      <c r="B132" s="264"/>
      <c r="C132" s="86"/>
      <c r="D132" s="86"/>
      <c r="E132" s="60">
        <v>68</v>
      </c>
      <c r="F132" s="86" t="e">
        <f t="shared" si="4"/>
        <v>#DIV/0!</v>
      </c>
      <c r="G132" s="87">
        <v>2</v>
      </c>
      <c r="H132" s="87">
        <v>5</v>
      </c>
      <c r="I132" s="87"/>
      <c r="J132" s="87" t="s">
        <v>204</v>
      </c>
      <c r="K132" s="89" t="s">
        <v>413</v>
      </c>
      <c r="L132" s="94"/>
      <c r="M132" s="94"/>
      <c r="N132" s="91"/>
      <c r="O132" s="91" t="s">
        <v>335</v>
      </c>
      <c r="P132" s="92"/>
      <c r="Q132" s="95" t="s">
        <v>689</v>
      </c>
      <c r="R132" s="95" t="s">
        <v>689</v>
      </c>
      <c r="S132" s="60">
        <v>68</v>
      </c>
      <c r="T132" s="263">
        <f t="shared" si="3"/>
        <v>136</v>
      </c>
      <c r="U132" s="262"/>
      <c r="V132" s="262"/>
      <c r="W132" s="26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262"/>
      <c r="BT132" s="262"/>
      <c r="BU132" s="262"/>
      <c r="BV132" s="262"/>
      <c r="BW132" s="262"/>
      <c r="BX132" s="262"/>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2"/>
      <c r="CV132" s="262"/>
      <c r="CW132" s="262"/>
      <c r="CX132" s="262"/>
      <c r="CY132" s="262"/>
      <c r="CZ132" s="262"/>
      <c r="DA132" s="262"/>
      <c r="DB132" s="262"/>
      <c r="DC132" s="262"/>
      <c r="DD132" s="262"/>
      <c r="DE132" s="262"/>
      <c r="DF132" s="262"/>
      <c r="DG132" s="262"/>
      <c r="DH132" s="262"/>
      <c r="DI132" s="262"/>
      <c r="DJ132" s="262"/>
      <c r="DK132" s="262"/>
      <c r="DL132" s="262"/>
      <c r="DM132" s="262"/>
      <c r="DN132" s="262"/>
      <c r="DO132" s="262"/>
      <c r="DP132" s="262"/>
      <c r="DQ132" s="262"/>
      <c r="DR132" s="262"/>
      <c r="DS132" s="262"/>
      <c r="DT132" s="262"/>
      <c r="DU132" s="262"/>
      <c r="DV132" s="262"/>
      <c r="DW132" s="262"/>
      <c r="DX132" s="262"/>
      <c r="DY132" s="262"/>
      <c r="DZ132" s="262"/>
      <c r="EA132" s="262"/>
      <c r="EB132" s="262"/>
      <c r="EC132" s="262"/>
      <c r="ED132" s="262"/>
      <c r="EE132" s="262"/>
      <c r="EF132" s="262"/>
      <c r="EG132" s="262"/>
      <c r="EH132" s="262"/>
      <c r="EI132" s="262"/>
      <c r="EJ132" s="262"/>
      <c r="EK132" s="262"/>
      <c r="EL132" s="262"/>
      <c r="EM132" s="262"/>
      <c r="EN132" s="262"/>
      <c r="EO132" s="262"/>
      <c r="EP132" s="262"/>
      <c r="EQ132" s="262"/>
      <c r="ER132" s="262"/>
      <c r="ES132" s="262"/>
      <c r="ET132" s="262"/>
      <c r="EU132" s="262"/>
      <c r="EV132" s="262"/>
      <c r="EW132" s="262"/>
      <c r="EX132" s="262"/>
      <c r="EY132" s="262"/>
      <c r="EZ132" s="262"/>
      <c r="FA132" s="262"/>
      <c r="FB132" s="262"/>
      <c r="FC132" s="262"/>
      <c r="FD132" s="262"/>
      <c r="FE132" s="262"/>
      <c r="FF132" s="262"/>
      <c r="FG132" s="262"/>
      <c r="FH132" s="262"/>
      <c r="FI132" s="262"/>
      <c r="FJ132" s="262"/>
      <c r="FK132" s="262"/>
      <c r="FL132" s="262"/>
      <c r="FM132" s="262"/>
      <c r="FN132" s="262"/>
      <c r="FO132" s="262"/>
      <c r="FP132" s="262"/>
      <c r="FQ132" s="262"/>
      <c r="FR132" s="262"/>
      <c r="FS132" s="262"/>
      <c r="FT132" s="262"/>
      <c r="FU132" s="262"/>
      <c r="FV132" s="262"/>
      <c r="FW132" s="262"/>
      <c r="FX132" s="262"/>
      <c r="FY132" s="262"/>
      <c r="FZ132" s="262"/>
      <c r="GA132" s="262"/>
      <c r="GB132" s="262"/>
      <c r="GC132" s="262"/>
      <c r="GD132" s="262"/>
      <c r="GE132" s="262"/>
      <c r="GF132" s="262"/>
      <c r="GG132" s="262"/>
      <c r="GH132" s="262"/>
      <c r="GI132" s="262"/>
      <c r="GJ132" s="262"/>
      <c r="GK132" s="262"/>
      <c r="GL132" s="262"/>
      <c r="GM132" s="262"/>
      <c r="GN132" s="262"/>
      <c r="GO132" s="262"/>
      <c r="GP132" s="262"/>
      <c r="GQ132" s="262"/>
      <c r="GR132" s="262"/>
      <c r="GS132" s="262"/>
      <c r="GT132" s="262"/>
      <c r="GU132" s="262"/>
      <c r="GV132" s="262"/>
      <c r="GW132" s="262"/>
      <c r="GX132" s="262"/>
      <c r="GY132" s="262"/>
      <c r="GZ132" s="262"/>
      <c r="HA132" s="262"/>
      <c r="HB132" s="262"/>
      <c r="HC132" s="262"/>
      <c r="HD132" s="262"/>
      <c r="HE132" s="262"/>
      <c r="HF132" s="262"/>
      <c r="HG132" s="262"/>
      <c r="HH132" s="262"/>
      <c r="HI132" s="262"/>
      <c r="HJ132" s="262"/>
      <c r="HK132" s="262"/>
      <c r="HL132" s="262"/>
      <c r="HM132" s="262"/>
      <c r="HN132" s="262"/>
      <c r="HO132" s="262"/>
      <c r="HP132" s="262"/>
      <c r="HQ132" s="262"/>
      <c r="HR132" s="262"/>
      <c r="HS132" s="262"/>
      <c r="HT132" s="262"/>
      <c r="HU132" s="262"/>
      <c r="HV132" s="262"/>
      <c r="HW132" s="262"/>
      <c r="HX132" s="262"/>
      <c r="HY132" s="262"/>
      <c r="HZ132" s="262"/>
      <c r="IA132" s="262"/>
      <c r="IB132" s="262"/>
      <c r="IC132" s="262"/>
      <c r="ID132" s="262"/>
      <c r="IE132" s="262"/>
      <c r="IF132" s="262"/>
      <c r="IG132" s="262"/>
      <c r="IH132" s="262"/>
      <c r="II132" s="262"/>
      <c r="IJ132" s="262"/>
      <c r="IK132" s="262"/>
      <c r="IL132" s="262"/>
      <c r="IM132" s="262"/>
      <c r="IN132" s="262"/>
      <c r="IO132" s="262"/>
      <c r="IP132" s="262"/>
      <c r="IQ132" s="262"/>
      <c r="IR132" s="262"/>
      <c r="IS132" s="262"/>
      <c r="IT132" s="262"/>
      <c r="IU132" s="262"/>
      <c r="IV132" s="262"/>
      <c r="IW132" s="262"/>
      <c r="IX132" s="262"/>
      <c r="IY132" s="262"/>
      <c r="IZ132" s="262"/>
      <c r="JA132" s="262"/>
      <c r="JB132" s="262"/>
      <c r="JC132" s="262"/>
      <c r="JD132" s="262"/>
      <c r="JE132" s="262"/>
      <c r="JF132" s="262"/>
      <c r="JG132" s="262"/>
      <c r="JH132" s="262"/>
      <c r="JI132" s="262"/>
      <c r="JJ132" s="262"/>
      <c r="JK132" s="262"/>
      <c r="JL132" s="262"/>
      <c r="JM132" s="262"/>
      <c r="JN132" s="262"/>
      <c r="JO132" s="262"/>
      <c r="JP132" s="262"/>
      <c r="JQ132" s="262"/>
      <c r="JR132" s="262"/>
      <c r="JS132" s="262"/>
      <c r="JT132" s="262"/>
      <c r="JU132" s="262"/>
      <c r="JV132" s="262"/>
      <c r="JW132" s="262"/>
      <c r="JX132" s="262"/>
      <c r="JY132" s="262"/>
      <c r="JZ132" s="262"/>
      <c r="KA132" s="262"/>
      <c r="KB132" s="262"/>
      <c r="KC132" s="262"/>
      <c r="KD132" s="262"/>
      <c r="KE132" s="262"/>
      <c r="KF132" s="262"/>
      <c r="KG132" s="262"/>
      <c r="KH132" s="262"/>
      <c r="KI132" s="262"/>
      <c r="KJ132" s="262"/>
      <c r="KK132" s="262"/>
      <c r="KL132" s="262"/>
      <c r="KM132" s="262"/>
      <c r="KN132" s="262"/>
      <c r="KO132" s="262"/>
      <c r="KP132" s="262"/>
      <c r="KQ132" s="262"/>
      <c r="KR132" s="262"/>
      <c r="KS132" s="262"/>
      <c r="KT132" s="262"/>
      <c r="KU132" s="262"/>
      <c r="KV132" s="262"/>
      <c r="KW132" s="262"/>
      <c r="KX132" s="262"/>
      <c r="KY132" s="262"/>
      <c r="KZ132" s="262"/>
    </row>
    <row r="133" spans="1:312" s="85" customFormat="1" ht="50" customHeight="1">
      <c r="A133" s="263" t="s">
        <v>182</v>
      </c>
      <c r="B133" s="264"/>
      <c r="C133" s="86"/>
      <c r="D133" s="86"/>
      <c r="E133" s="60">
        <v>68</v>
      </c>
      <c r="F133" s="86" t="e">
        <f t="shared" si="4"/>
        <v>#DIV/0!</v>
      </c>
      <c r="G133" s="87">
        <v>2</v>
      </c>
      <c r="H133" s="87">
        <v>5</v>
      </c>
      <c r="I133" s="87"/>
      <c r="J133" s="264" t="s">
        <v>204</v>
      </c>
      <c r="K133" s="265" t="s">
        <v>503</v>
      </c>
      <c r="L133" s="98"/>
      <c r="M133" s="98"/>
      <c r="N133" s="99"/>
      <c r="O133" s="99" t="s">
        <v>335</v>
      </c>
      <c r="P133" s="266"/>
      <c r="Q133" s="95" t="s">
        <v>689</v>
      </c>
      <c r="R133" s="95" t="s">
        <v>689</v>
      </c>
      <c r="S133" s="60">
        <v>68</v>
      </c>
      <c r="T133" s="263">
        <f t="shared" si="3"/>
        <v>136</v>
      </c>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c r="AP133" s="262"/>
      <c r="AQ133" s="262"/>
      <c r="AR133" s="262"/>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262"/>
      <c r="BT133" s="262"/>
      <c r="BU133" s="262"/>
      <c r="BV133" s="262"/>
      <c r="BW133" s="262"/>
      <c r="BX133" s="262"/>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2"/>
      <c r="CV133" s="262"/>
      <c r="CW133" s="262"/>
      <c r="CX133" s="262"/>
      <c r="CY133" s="262"/>
      <c r="CZ133" s="262"/>
      <c r="DA133" s="262"/>
      <c r="DB133" s="262"/>
      <c r="DC133" s="262"/>
      <c r="DD133" s="262"/>
      <c r="DE133" s="262"/>
      <c r="DF133" s="262"/>
      <c r="DG133" s="262"/>
      <c r="DH133" s="262"/>
      <c r="DI133" s="262"/>
      <c r="DJ133" s="262"/>
      <c r="DK133" s="262"/>
      <c r="DL133" s="262"/>
      <c r="DM133" s="262"/>
      <c r="DN133" s="262"/>
      <c r="DO133" s="262"/>
      <c r="DP133" s="262"/>
      <c r="DQ133" s="262"/>
      <c r="DR133" s="262"/>
      <c r="DS133" s="262"/>
      <c r="DT133" s="262"/>
      <c r="DU133" s="262"/>
      <c r="DV133" s="262"/>
      <c r="DW133" s="262"/>
      <c r="DX133" s="262"/>
      <c r="DY133" s="262"/>
      <c r="DZ133" s="262"/>
      <c r="EA133" s="262"/>
      <c r="EB133" s="262"/>
      <c r="EC133" s="262"/>
      <c r="ED133" s="262"/>
      <c r="EE133" s="262"/>
      <c r="EF133" s="262"/>
      <c r="EG133" s="262"/>
      <c r="EH133" s="262"/>
      <c r="EI133" s="262"/>
      <c r="EJ133" s="262"/>
      <c r="EK133" s="262"/>
      <c r="EL133" s="262"/>
      <c r="EM133" s="262"/>
      <c r="EN133" s="262"/>
      <c r="EO133" s="262"/>
      <c r="EP133" s="262"/>
      <c r="EQ133" s="262"/>
      <c r="ER133" s="262"/>
      <c r="ES133" s="262"/>
      <c r="ET133" s="262"/>
      <c r="EU133" s="262"/>
      <c r="EV133" s="262"/>
      <c r="EW133" s="262"/>
      <c r="EX133" s="262"/>
      <c r="EY133" s="262"/>
      <c r="EZ133" s="262"/>
      <c r="FA133" s="262"/>
      <c r="FB133" s="262"/>
      <c r="FC133" s="262"/>
      <c r="FD133" s="262"/>
      <c r="FE133" s="262"/>
      <c r="FF133" s="262"/>
      <c r="FG133" s="262"/>
      <c r="FH133" s="262"/>
      <c r="FI133" s="262"/>
      <c r="FJ133" s="262"/>
      <c r="FK133" s="262"/>
      <c r="FL133" s="262"/>
      <c r="FM133" s="262"/>
      <c r="FN133" s="262"/>
      <c r="FO133" s="262"/>
      <c r="FP133" s="262"/>
      <c r="FQ133" s="262"/>
      <c r="FR133" s="262"/>
      <c r="FS133" s="262"/>
      <c r="FT133" s="262"/>
      <c r="FU133" s="262"/>
      <c r="FV133" s="262"/>
      <c r="FW133" s="262"/>
      <c r="FX133" s="262"/>
      <c r="FY133" s="262"/>
      <c r="FZ133" s="262"/>
      <c r="GA133" s="262"/>
      <c r="GB133" s="262"/>
      <c r="GC133" s="262"/>
      <c r="GD133" s="262"/>
      <c r="GE133" s="262"/>
      <c r="GF133" s="262"/>
      <c r="GG133" s="262"/>
      <c r="GH133" s="262"/>
      <c r="GI133" s="262"/>
      <c r="GJ133" s="262"/>
      <c r="GK133" s="262"/>
      <c r="GL133" s="262"/>
      <c r="GM133" s="262"/>
      <c r="GN133" s="262"/>
      <c r="GO133" s="262"/>
      <c r="GP133" s="262"/>
      <c r="GQ133" s="262"/>
      <c r="GR133" s="262"/>
      <c r="GS133" s="262"/>
      <c r="GT133" s="262"/>
      <c r="GU133" s="262"/>
      <c r="GV133" s="262"/>
      <c r="GW133" s="262"/>
      <c r="GX133" s="262"/>
      <c r="GY133" s="262"/>
      <c r="GZ133" s="262"/>
      <c r="HA133" s="262"/>
      <c r="HB133" s="262"/>
      <c r="HC133" s="262"/>
      <c r="HD133" s="262"/>
      <c r="HE133" s="262"/>
      <c r="HF133" s="262"/>
      <c r="HG133" s="262"/>
      <c r="HH133" s="262"/>
      <c r="HI133" s="262"/>
      <c r="HJ133" s="262"/>
      <c r="HK133" s="262"/>
      <c r="HL133" s="262"/>
      <c r="HM133" s="262"/>
      <c r="HN133" s="262"/>
      <c r="HO133" s="262"/>
      <c r="HP133" s="262"/>
      <c r="HQ133" s="262"/>
      <c r="HR133" s="262"/>
      <c r="HS133" s="262"/>
      <c r="HT133" s="262"/>
      <c r="HU133" s="262"/>
      <c r="HV133" s="262"/>
      <c r="HW133" s="262"/>
      <c r="HX133" s="262"/>
      <c r="HY133" s="262"/>
      <c r="HZ133" s="262"/>
      <c r="IA133" s="262"/>
      <c r="IB133" s="262"/>
      <c r="IC133" s="262"/>
      <c r="ID133" s="262"/>
      <c r="IE133" s="262"/>
      <c r="IF133" s="262"/>
      <c r="IG133" s="262"/>
      <c r="IH133" s="262"/>
      <c r="II133" s="262"/>
      <c r="IJ133" s="262"/>
      <c r="IK133" s="262"/>
      <c r="IL133" s="262"/>
      <c r="IM133" s="262"/>
      <c r="IN133" s="262"/>
      <c r="IO133" s="262"/>
      <c r="IP133" s="262"/>
      <c r="IQ133" s="262"/>
      <c r="IR133" s="262"/>
      <c r="IS133" s="262"/>
      <c r="IT133" s="262"/>
      <c r="IU133" s="262"/>
      <c r="IV133" s="262"/>
      <c r="IW133" s="262"/>
      <c r="IX133" s="262"/>
      <c r="IY133" s="262"/>
      <c r="IZ133" s="262"/>
      <c r="JA133" s="262"/>
      <c r="JB133" s="262"/>
      <c r="JC133" s="262"/>
      <c r="JD133" s="262"/>
      <c r="JE133" s="262"/>
      <c r="JF133" s="262"/>
      <c r="JG133" s="262"/>
      <c r="JH133" s="262"/>
      <c r="JI133" s="262"/>
      <c r="JJ133" s="262"/>
      <c r="JK133" s="262"/>
      <c r="JL133" s="262"/>
      <c r="JM133" s="262"/>
      <c r="JN133" s="262"/>
      <c r="JO133" s="262"/>
      <c r="JP133" s="262"/>
      <c r="JQ133" s="262"/>
      <c r="JR133" s="262"/>
      <c r="JS133" s="262"/>
      <c r="JT133" s="262"/>
      <c r="JU133" s="262"/>
      <c r="JV133" s="262"/>
      <c r="JW133" s="262"/>
      <c r="JX133" s="262"/>
      <c r="JY133" s="262"/>
      <c r="JZ133" s="262"/>
      <c r="KA133" s="262"/>
      <c r="KB133" s="262"/>
      <c r="KC133" s="262"/>
      <c r="KD133" s="262"/>
      <c r="KE133" s="262"/>
      <c r="KF133" s="262"/>
      <c r="KG133" s="262"/>
      <c r="KH133" s="262"/>
      <c r="KI133" s="262"/>
      <c r="KJ133" s="262"/>
      <c r="KK133" s="262"/>
      <c r="KL133" s="262"/>
      <c r="KM133" s="262"/>
      <c r="KN133" s="262"/>
      <c r="KO133" s="262"/>
      <c r="KP133" s="262"/>
      <c r="KQ133" s="262"/>
      <c r="KR133" s="262"/>
      <c r="KS133" s="262"/>
      <c r="KT133" s="262"/>
      <c r="KU133" s="262"/>
      <c r="KV133" s="262"/>
      <c r="KW133" s="262"/>
      <c r="KX133" s="262"/>
      <c r="KY133" s="262"/>
      <c r="KZ133" s="262"/>
    </row>
    <row r="134" spans="1:312" s="85" customFormat="1" ht="50" customHeight="1">
      <c r="A134" s="263" t="s">
        <v>183</v>
      </c>
      <c r="B134" s="264"/>
      <c r="C134" s="86"/>
      <c r="D134" s="86"/>
      <c r="E134" s="60">
        <v>68</v>
      </c>
      <c r="F134" s="86" t="e">
        <f t="shared" si="4"/>
        <v>#DIV/0!</v>
      </c>
      <c r="G134" s="87">
        <v>2</v>
      </c>
      <c r="H134" s="87">
        <v>5</v>
      </c>
      <c r="I134" s="87"/>
      <c r="J134" s="264" t="s">
        <v>204</v>
      </c>
      <c r="K134" s="265" t="s">
        <v>732</v>
      </c>
      <c r="L134" s="98"/>
      <c r="M134" s="98"/>
      <c r="N134" s="99"/>
      <c r="O134" s="99" t="s">
        <v>335</v>
      </c>
      <c r="P134" s="266"/>
      <c r="Q134" s="95" t="s">
        <v>689</v>
      </c>
      <c r="R134" s="95" t="s">
        <v>689</v>
      </c>
      <c r="S134" s="60">
        <v>68</v>
      </c>
      <c r="T134" s="263">
        <f t="shared" si="3"/>
        <v>136</v>
      </c>
      <c r="U134" s="262"/>
      <c r="V134" s="262"/>
      <c r="W134" s="262"/>
      <c r="X134" s="262"/>
      <c r="Y134" s="262"/>
      <c r="Z134" s="262"/>
      <c r="AA134" s="262"/>
      <c r="AB134" s="262"/>
      <c r="AC134" s="262"/>
      <c r="AD134" s="262"/>
      <c r="AE134" s="262"/>
      <c r="AF134" s="262"/>
      <c r="AG134" s="262"/>
      <c r="AH134" s="262"/>
      <c r="AI134" s="262"/>
      <c r="AJ134" s="262"/>
      <c r="AK134" s="262"/>
      <c r="AL134" s="262"/>
      <c r="AM134" s="262"/>
      <c r="AN134" s="262"/>
      <c r="AO134" s="262"/>
      <c r="AP134" s="262"/>
      <c r="AQ134" s="262"/>
      <c r="AR134" s="262"/>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262"/>
      <c r="BT134" s="262"/>
      <c r="BU134" s="262"/>
      <c r="BV134" s="262"/>
      <c r="BW134" s="262"/>
      <c r="BX134" s="262"/>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2"/>
      <c r="CV134" s="262"/>
      <c r="CW134" s="262"/>
      <c r="CX134" s="262"/>
      <c r="CY134" s="262"/>
      <c r="CZ134" s="262"/>
      <c r="DA134" s="262"/>
      <c r="DB134" s="262"/>
      <c r="DC134" s="262"/>
      <c r="DD134" s="262"/>
      <c r="DE134" s="262"/>
      <c r="DF134" s="262"/>
      <c r="DG134" s="262"/>
      <c r="DH134" s="262"/>
      <c r="DI134" s="262"/>
      <c r="DJ134" s="262"/>
      <c r="DK134" s="262"/>
      <c r="DL134" s="262"/>
      <c r="DM134" s="262"/>
      <c r="DN134" s="262"/>
      <c r="DO134" s="262"/>
      <c r="DP134" s="262"/>
      <c r="DQ134" s="262"/>
      <c r="DR134" s="262"/>
      <c r="DS134" s="262"/>
      <c r="DT134" s="262"/>
      <c r="DU134" s="262"/>
      <c r="DV134" s="262"/>
      <c r="DW134" s="262"/>
      <c r="DX134" s="262"/>
      <c r="DY134" s="262"/>
      <c r="DZ134" s="262"/>
      <c r="EA134" s="262"/>
      <c r="EB134" s="262"/>
      <c r="EC134" s="262"/>
      <c r="ED134" s="262"/>
      <c r="EE134" s="262"/>
      <c r="EF134" s="262"/>
      <c r="EG134" s="262"/>
      <c r="EH134" s="262"/>
      <c r="EI134" s="262"/>
      <c r="EJ134" s="262"/>
      <c r="EK134" s="262"/>
      <c r="EL134" s="262"/>
      <c r="EM134" s="262"/>
      <c r="EN134" s="262"/>
      <c r="EO134" s="262"/>
      <c r="EP134" s="262"/>
      <c r="EQ134" s="262"/>
      <c r="ER134" s="262"/>
      <c r="ES134" s="262"/>
      <c r="ET134" s="262"/>
      <c r="EU134" s="262"/>
      <c r="EV134" s="262"/>
      <c r="EW134" s="262"/>
      <c r="EX134" s="262"/>
      <c r="EY134" s="262"/>
      <c r="EZ134" s="262"/>
      <c r="FA134" s="262"/>
      <c r="FB134" s="262"/>
      <c r="FC134" s="262"/>
      <c r="FD134" s="262"/>
      <c r="FE134" s="262"/>
      <c r="FF134" s="262"/>
      <c r="FG134" s="262"/>
      <c r="FH134" s="262"/>
      <c r="FI134" s="262"/>
      <c r="FJ134" s="262"/>
      <c r="FK134" s="262"/>
      <c r="FL134" s="262"/>
      <c r="FM134" s="262"/>
      <c r="FN134" s="262"/>
      <c r="FO134" s="262"/>
      <c r="FP134" s="262"/>
      <c r="FQ134" s="262"/>
      <c r="FR134" s="262"/>
      <c r="FS134" s="262"/>
      <c r="FT134" s="262"/>
      <c r="FU134" s="262"/>
      <c r="FV134" s="262"/>
      <c r="FW134" s="262"/>
      <c r="FX134" s="262"/>
      <c r="FY134" s="262"/>
      <c r="FZ134" s="262"/>
      <c r="GA134" s="262"/>
      <c r="GB134" s="262"/>
      <c r="GC134" s="262"/>
      <c r="GD134" s="262"/>
      <c r="GE134" s="262"/>
      <c r="GF134" s="262"/>
      <c r="GG134" s="262"/>
      <c r="GH134" s="262"/>
      <c r="GI134" s="262"/>
      <c r="GJ134" s="262"/>
      <c r="GK134" s="262"/>
      <c r="GL134" s="262"/>
      <c r="GM134" s="262"/>
      <c r="GN134" s="262"/>
      <c r="GO134" s="262"/>
      <c r="GP134" s="262"/>
      <c r="GQ134" s="262"/>
      <c r="GR134" s="262"/>
      <c r="GS134" s="262"/>
      <c r="GT134" s="262"/>
      <c r="GU134" s="262"/>
      <c r="GV134" s="262"/>
      <c r="GW134" s="262"/>
      <c r="GX134" s="262"/>
      <c r="GY134" s="262"/>
      <c r="GZ134" s="262"/>
      <c r="HA134" s="262"/>
      <c r="HB134" s="262"/>
      <c r="HC134" s="262"/>
      <c r="HD134" s="262"/>
      <c r="HE134" s="262"/>
      <c r="HF134" s="262"/>
      <c r="HG134" s="262"/>
      <c r="HH134" s="262"/>
      <c r="HI134" s="262"/>
      <c r="HJ134" s="262"/>
      <c r="HK134" s="262"/>
      <c r="HL134" s="262"/>
      <c r="HM134" s="262"/>
      <c r="HN134" s="262"/>
      <c r="HO134" s="262"/>
      <c r="HP134" s="262"/>
      <c r="HQ134" s="262"/>
      <c r="HR134" s="262"/>
      <c r="HS134" s="262"/>
      <c r="HT134" s="262"/>
      <c r="HU134" s="262"/>
      <c r="HV134" s="262"/>
      <c r="HW134" s="262"/>
      <c r="HX134" s="262"/>
      <c r="HY134" s="262"/>
      <c r="HZ134" s="262"/>
      <c r="IA134" s="262"/>
      <c r="IB134" s="262"/>
      <c r="IC134" s="262"/>
      <c r="ID134" s="262"/>
      <c r="IE134" s="262"/>
      <c r="IF134" s="262"/>
      <c r="IG134" s="262"/>
      <c r="IH134" s="262"/>
      <c r="II134" s="262"/>
      <c r="IJ134" s="262"/>
      <c r="IK134" s="262"/>
      <c r="IL134" s="262"/>
      <c r="IM134" s="262"/>
      <c r="IN134" s="262"/>
      <c r="IO134" s="262"/>
      <c r="IP134" s="262"/>
      <c r="IQ134" s="262"/>
      <c r="IR134" s="262"/>
      <c r="IS134" s="262"/>
      <c r="IT134" s="262"/>
      <c r="IU134" s="262"/>
      <c r="IV134" s="262"/>
      <c r="IW134" s="262"/>
      <c r="IX134" s="262"/>
      <c r="IY134" s="262"/>
      <c r="IZ134" s="262"/>
      <c r="JA134" s="262"/>
      <c r="JB134" s="262"/>
      <c r="JC134" s="262"/>
      <c r="JD134" s="262"/>
      <c r="JE134" s="262"/>
      <c r="JF134" s="262"/>
      <c r="JG134" s="262"/>
      <c r="JH134" s="262"/>
      <c r="JI134" s="262"/>
      <c r="JJ134" s="262"/>
      <c r="JK134" s="262"/>
      <c r="JL134" s="262"/>
      <c r="JM134" s="262"/>
      <c r="JN134" s="262"/>
      <c r="JO134" s="262"/>
      <c r="JP134" s="262"/>
      <c r="JQ134" s="262"/>
      <c r="JR134" s="262"/>
      <c r="JS134" s="262"/>
      <c r="JT134" s="262"/>
      <c r="JU134" s="262"/>
      <c r="JV134" s="262"/>
      <c r="JW134" s="262"/>
      <c r="JX134" s="262"/>
      <c r="JY134" s="262"/>
      <c r="JZ134" s="262"/>
      <c r="KA134" s="262"/>
      <c r="KB134" s="262"/>
      <c r="KC134" s="262"/>
      <c r="KD134" s="262"/>
      <c r="KE134" s="262"/>
      <c r="KF134" s="262"/>
      <c r="KG134" s="262"/>
      <c r="KH134" s="262"/>
      <c r="KI134" s="262"/>
      <c r="KJ134" s="262"/>
      <c r="KK134" s="262"/>
      <c r="KL134" s="262"/>
      <c r="KM134" s="262"/>
      <c r="KN134" s="262"/>
      <c r="KO134" s="262"/>
      <c r="KP134" s="262"/>
      <c r="KQ134" s="262"/>
      <c r="KR134" s="262"/>
      <c r="KS134" s="262"/>
      <c r="KT134" s="262"/>
      <c r="KU134" s="262"/>
      <c r="KV134" s="262"/>
      <c r="KW134" s="262"/>
      <c r="KX134" s="262"/>
      <c r="KY134" s="262"/>
      <c r="KZ134" s="262"/>
    </row>
    <row r="135" spans="1:312" s="85" customFormat="1" ht="50" customHeight="1">
      <c r="A135" s="263" t="s">
        <v>188</v>
      </c>
      <c r="B135" s="264">
        <v>518508</v>
      </c>
      <c r="C135" s="86">
        <v>619</v>
      </c>
      <c r="D135" s="86">
        <v>878</v>
      </c>
      <c r="E135" s="60">
        <v>68</v>
      </c>
      <c r="F135" s="86">
        <f t="shared" si="4"/>
        <v>0.70501138952164011</v>
      </c>
      <c r="G135" s="87">
        <v>2</v>
      </c>
      <c r="H135" s="87">
        <v>5</v>
      </c>
      <c r="I135" s="264"/>
      <c r="J135" s="264" t="s">
        <v>204</v>
      </c>
      <c r="K135" s="265" t="s">
        <v>512</v>
      </c>
      <c r="L135" s="98"/>
      <c r="M135" s="98"/>
      <c r="N135" s="99"/>
      <c r="O135" s="99" t="s">
        <v>335</v>
      </c>
      <c r="P135" s="266"/>
      <c r="Q135" s="95" t="s">
        <v>689</v>
      </c>
      <c r="R135" s="95" t="s">
        <v>689</v>
      </c>
      <c r="S135" s="60">
        <v>68</v>
      </c>
      <c r="T135" s="263">
        <f t="shared" si="3"/>
        <v>136</v>
      </c>
      <c r="U135" s="262"/>
      <c r="V135" s="262"/>
      <c r="W135" s="262"/>
      <c r="X135" s="262"/>
      <c r="Y135" s="262"/>
      <c r="Z135" s="262"/>
      <c r="AA135" s="262"/>
      <c r="AB135" s="262"/>
      <c r="AC135" s="262"/>
      <c r="AD135" s="262"/>
      <c r="AE135" s="262"/>
      <c r="AF135" s="262"/>
      <c r="AG135" s="262"/>
      <c r="AH135" s="262"/>
      <c r="AI135" s="262"/>
      <c r="AJ135" s="262"/>
      <c r="AK135" s="262"/>
      <c r="AL135" s="262"/>
      <c r="AM135" s="262"/>
      <c r="AN135" s="262"/>
      <c r="AO135" s="262"/>
      <c r="AP135" s="262"/>
      <c r="AQ135" s="262"/>
      <c r="AR135" s="262"/>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262"/>
      <c r="BT135" s="262"/>
      <c r="BU135" s="262"/>
      <c r="BV135" s="262"/>
      <c r="BW135" s="262"/>
      <c r="BX135" s="262"/>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2"/>
      <c r="CV135" s="262"/>
      <c r="CW135" s="262"/>
      <c r="CX135" s="262"/>
      <c r="CY135" s="262"/>
      <c r="CZ135" s="262"/>
      <c r="DA135" s="262"/>
      <c r="DB135" s="262"/>
      <c r="DC135" s="262"/>
      <c r="DD135" s="262"/>
      <c r="DE135" s="262"/>
      <c r="DF135" s="262"/>
      <c r="DG135" s="262"/>
      <c r="DH135" s="262"/>
      <c r="DI135" s="262"/>
      <c r="DJ135" s="262"/>
      <c r="DK135" s="262"/>
      <c r="DL135" s="262"/>
      <c r="DM135" s="262"/>
      <c r="DN135" s="262"/>
      <c r="DO135" s="262"/>
      <c r="DP135" s="262"/>
      <c r="DQ135" s="262"/>
      <c r="DR135" s="262"/>
      <c r="DS135" s="262"/>
      <c r="DT135" s="262"/>
      <c r="DU135" s="262"/>
      <c r="DV135" s="262"/>
      <c r="DW135" s="262"/>
      <c r="DX135" s="262"/>
      <c r="DY135" s="262"/>
      <c r="DZ135" s="262"/>
      <c r="EA135" s="262"/>
      <c r="EB135" s="262"/>
      <c r="EC135" s="262"/>
      <c r="ED135" s="262"/>
      <c r="EE135" s="262"/>
      <c r="EF135" s="262"/>
      <c r="EG135" s="262"/>
      <c r="EH135" s="262"/>
      <c r="EI135" s="262"/>
      <c r="EJ135" s="262"/>
      <c r="EK135" s="262"/>
      <c r="EL135" s="262"/>
      <c r="EM135" s="262"/>
      <c r="EN135" s="262"/>
      <c r="EO135" s="262"/>
      <c r="EP135" s="262"/>
      <c r="EQ135" s="262"/>
      <c r="ER135" s="262"/>
      <c r="ES135" s="262"/>
      <c r="ET135" s="262"/>
      <c r="EU135" s="262"/>
      <c r="EV135" s="262"/>
      <c r="EW135" s="262"/>
      <c r="EX135" s="262"/>
      <c r="EY135" s="262"/>
      <c r="EZ135" s="262"/>
      <c r="FA135" s="262"/>
      <c r="FB135" s="262"/>
      <c r="FC135" s="262"/>
      <c r="FD135" s="262"/>
      <c r="FE135" s="262"/>
      <c r="FF135" s="262"/>
      <c r="FG135" s="262"/>
      <c r="FH135" s="262"/>
      <c r="FI135" s="262"/>
      <c r="FJ135" s="262"/>
      <c r="FK135" s="262"/>
      <c r="FL135" s="262"/>
      <c r="FM135" s="262"/>
      <c r="FN135" s="262"/>
      <c r="FO135" s="262"/>
      <c r="FP135" s="262"/>
      <c r="FQ135" s="262"/>
      <c r="FR135" s="262"/>
      <c r="FS135" s="262"/>
      <c r="FT135" s="262"/>
      <c r="FU135" s="262"/>
      <c r="FV135" s="262"/>
      <c r="FW135" s="262"/>
      <c r="FX135" s="262"/>
      <c r="FY135" s="262"/>
      <c r="FZ135" s="262"/>
      <c r="GA135" s="262"/>
      <c r="GB135" s="262"/>
      <c r="GC135" s="262"/>
      <c r="GD135" s="262"/>
      <c r="GE135" s="262"/>
      <c r="GF135" s="262"/>
      <c r="GG135" s="262"/>
      <c r="GH135" s="262"/>
      <c r="GI135" s="262"/>
      <c r="GJ135" s="262"/>
      <c r="GK135" s="262"/>
      <c r="GL135" s="262"/>
      <c r="GM135" s="262"/>
      <c r="GN135" s="262"/>
      <c r="GO135" s="262"/>
      <c r="GP135" s="262"/>
      <c r="GQ135" s="262"/>
      <c r="GR135" s="262"/>
      <c r="GS135" s="262"/>
      <c r="GT135" s="262"/>
      <c r="GU135" s="262"/>
      <c r="GV135" s="262"/>
      <c r="GW135" s="262"/>
      <c r="GX135" s="262"/>
      <c r="GY135" s="262"/>
      <c r="GZ135" s="262"/>
      <c r="HA135" s="262"/>
      <c r="HB135" s="262"/>
      <c r="HC135" s="262"/>
      <c r="HD135" s="262"/>
      <c r="HE135" s="262"/>
      <c r="HF135" s="262"/>
      <c r="HG135" s="262"/>
      <c r="HH135" s="262"/>
      <c r="HI135" s="262"/>
      <c r="HJ135" s="262"/>
      <c r="HK135" s="262"/>
      <c r="HL135" s="262"/>
      <c r="HM135" s="262"/>
      <c r="HN135" s="262"/>
      <c r="HO135" s="262"/>
      <c r="HP135" s="262"/>
      <c r="HQ135" s="262"/>
      <c r="HR135" s="262"/>
      <c r="HS135" s="262"/>
      <c r="HT135" s="262"/>
      <c r="HU135" s="262"/>
      <c r="HV135" s="262"/>
      <c r="HW135" s="262"/>
      <c r="HX135" s="262"/>
      <c r="HY135" s="262"/>
      <c r="HZ135" s="262"/>
      <c r="IA135" s="262"/>
      <c r="IB135" s="262"/>
      <c r="IC135" s="262"/>
      <c r="ID135" s="262"/>
      <c r="IE135" s="262"/>
      <c r="IF135" s="262"/>
      <c r="IG135" s="262"/>
      <c r="IH135" s="262"/>
      <c r="II135" s="262"/>
      <c r="IJ135" s="262"/>
      <c r="IK135" s="262"/>
      <c r="IL135" s="262"/>
      <c r="IM135" s="262"/>
      <c r="IN135" s="262"/>
      <c r="IO135" s="262"/>
      <c r="IP135" s="262"/>
      <c r="IQ135" s="262"/>
      <c r="IR135" s="262"/>
      <c r="IS135" s="262"/>
      <c r="IT135" s="262"/>
      <c r="IU135" s="262"/>
      <c r="IV135" s="262"/>
      <c r="IW135" s="262"/>
      <c r="IX135" s="262"/>
      <c r="IY135" s="262"/>
      <c r="IZ135" s="262"/>
      <c r="JA135" s="262"/>
      <c r="JB135" s="262"/>
      <c r="JC135" s="262"/>
      <c r="JD135" s="262"/>
      <c r="JE135" s="262"/>
      <c r="JF135" s="262"/>
      <c r="JG135" s="262"/>
      <c r="JH135" s="262"/>
      <c r="JI135" s="262"/>
      <c r="JJ135" s="262"/>
      <c r="JK135" s="262"/>
      <c r="JL135" s="262"/>
      <c r="JM135" s="262"/>
      <c r="JN135" s="262"/>
      <c r="JO135" s="262"/>
      <c r="JP135" s="262"/>
      <c r="JQ135" s="262"/>
      <c r="JR135" s="262"/>
      <c r="JS135" s="262"/>
      <c r="JT135" s="262"/>
      <c r="JU135" s="262"/>
      <c r="JV135" s="262"/>
      <c r="JW135" s="262"/>
      <c r="JX135" s="262"/>
      <c r="JY135" s="262"/>
      <c r="JZ135" s="262"/>
      <c r="KA135" s="262"/>
      <c r="KB135" s="262"/>
      <c r="KC135" s="262"/>
      <c r="KD135" s="262"/>
      <c r="KE135" s="262"/>
      <c r="KF135" s="262"/>
      <c r="KG135" s="262"/>
      <c r="KH135" s="262"/>
      <c r="KI135" s="262"/>
      <c r="KJ135" s="262"/>
      <c r="KK135" s="262"/>
      <c r="KL135" s="262"/>
      <c r="KM135" s="262"/>
      <c r="KN135" s="262"/>
      <c r="KO135" s="262"/>
      <c r="KP135" s="262"/>
      <c r="KQ135" s="262"/>
      <c r="KR135" s="262"/>
      <c r="KS135" s="262"/>
      <c r="KT135" s="262"/>
      <c r="KU135" s="262"/>
      <c r="KV135" s="262"/>
      <c r="KW135" s="262"/>
      <c r="KX135" s="262"/>
      <c r="KY135" s="262"/>
      <c r="KZ135" s="262"/>
    </row>
    <row r="136" spans="1:312" s="96" customFormat="1" ht="50" customHeight="1">
      <c r="A136" s="263" t="s">
        <v>69</v>
      </c>
      <c r="B136" s="264"/>
      <c r="C136" s="86"/>
      <c r="D136" s="86"/>
      <c r="E136" s="60">
        <v>68</v>
      </c>
      <c r="F136" s="86" t="e">
        <f t="shared" si="4"/>
        <v>#DIV/0!</v>
      </c>
      <c r="G136" s="87">
        <v>2</v>
      </c>
      <c r="H136" s="87">
        <v>5</v>
      </c>
      <c r="I136" s="87"/>
      <c r="J136" s="87" t="s">
        <v>204</v>
      </c>
      <c r="K136" s="89" t="s">
        <v>206</v>
      </c>
      <c r="L136" s="94"/>
      <c r="M136" s="94"/>
      <c r="N136" s="91"/>
      <c r="O136" s="91" t="s">
        <v>335</v>
      </c>
      <c r="P136" s="92"/>
      <c r="Q136" s="95" t="s">
        <v>689</v>
      </c>
      <c r="R136" s="95" t="s">
        <v>689</v>
      </c>
      <c r="S136" s="60">
        <v>68</v>
      </c>
      <c r="T136" s="263">
        <f t="shared" ref="T136:T151" si="5">S136*G136</f>
        <v>136</v>
      </c>
      <c r="U136" s="262"/>
      <c r="V136" s="262"/>
      <c r="W136" s="262"/>
      <c r="X136" s="262"/>
      <c r="Y136" s="262"/>
      <c r="Z136" s="262"/>
      <c r="AA136" s="262"/>
      <c r="AB136" s="262"/>
      <c r="AC136" s="262"/>
      <c r="AD136" s="262"/>
      <c r="AE136" s="262"/>
      <c r="AF136" s="262"/>
      <c r="AG136" s="262"/>
      <c r="AH136" s="262"/>
      <c r="AI136" s="262"/>
      <c r="AJ136" s="262"/>
      <c r="AK136" s="262"/>
      <c r="AL136" s="262"/>
      <c r="AM136" s="262"/>
      <c r="AN136" s="262"/>
      <c r="AO136" s="262"/>
      <c r="AP136" s="262"/>
      <c r="AQ136" s="262"/>
      <c r="AR136" s="262"/>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262"/>
      <c r="BT136" s="262"/>
      <c r="BU136" s="262"/>
      <c r="BV136" s="262"/>
      <c r="BW136" s="262"/>
      <c r="BX136" s="262"/>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2"/>
      <c r="CV136" s="262"/>
      <c r="CW136" s="262"/>
      <c r="CX136" s="262"/>
      <c r="CY136" s="262"/>
      <c r="CZ136" s="262"/>
      <c r="DA136" s="262"/>
      <c r="DB136" s="262"/>
      <c r="DC136" s="262"/>
      <c r="DD136" s="262"/>
      <c r="DE136" s="262"/>
      <c r="DF136" s="262"/>
      <c r="DG136" s="262"/>
      <c r="DH136" s="262"/>
      <c r="DI136" s="262"/>
      <c r="DJ136" s="262"/>
      <c r="DK136" s="262"/>
      <c r="DL136" s="262"/>
      <c r="DM136" s="262"/>
      <c r="DN136" s="262"/>
      <c r="DO136" s="262"/>
      <c r="DP136" s="262"/>
      <c r="DQ136" s="262"/>
      <c r="DR136" s="262"/>
      <c r="DS136" s="262"/>
      <c r="DT136" s="262"/>
      <c r="DU136" s="262"/>
      <c r="DV136" s="262"/>
      <c r="DW136" s="262"/>
      <c r="DX136" s="262"/>
      <c r="DY136" s="262"/>
      <c r="DZ136" s="262"/>
      <c r="EA136" s="262"/>
      <c r="EB136" s="262"/>
      <c r="EC136" s="262"/>
      <c r="ED136" s="262"/>
      <c r="EE136" s="262"/>
      <c r="EF136" s="262"/>
      <c r="EG136" s="262"/>
      <c r="EH136" s="262"/>
      <c r="EI136" s="262"/>
      <c r="EJ136" s="262"/>
      <c r="EK136" s="262"/>
      <c r="EL136" s="262"/>
      <c r="EM136" s="262"/>
      <c r="EN136" s="262"/>
      <c r="EO136" s="262"/>
      <c r="EP136" s="262"/>
      <c r="EQ136" s="262"/>
      <c r="ER136" s="262"/>
      <c r="ES136" s="262"/>
      <c r="ET136" s="262"/>
      <c r="EU136" s="262"/>
      <c r="EV136" s="262"/>
      <c r="EW136" s="262"/>
      <c r="EX136" s="262"/>
      <c r="EY136" s="262"/>
      <c r="EZ136" s="262"/>
      <c r="FA136" s="262"/>
      <c r="FB136" s="262"/>
      <c r="FC136" s="262"/>
      <c r="FD136" s="262"/>
      <c r="FE136" s="262"/>
      <c r="FF136" s="262"/>
      <c r="FG136" s="262"/>
      <c r="FH136" s="262"/>
      <c r="FI136" s="262"/>
      <c r="FJ136" s="262"/>
      <c r="FK136" s="262"/>
      <c r="FL136" s="262"/>
      <c r="FM136" s="262"/>
      <c r="FN136" s="262"/>
      <c r="FO136" s="262"/>
      <c r="FP136" s="262"/>
      <c r="FQ136" s="262"/>
      <c r="FR136" s="262"/>
      <c r="FS136" s="262"/>
      <c r="FT136" s="262"/>
      <c r="FU136" s="262"/>
      <c r="FV136" s="262"/>
      <c r="FW136" s="262"/>
      <c r="FX136" s="262"/>
      <c r="FY136" s="262"/>
      <c r="FZ136" s="262"/>
      <c r="GA136" s="262"/>
      <c r="GB136" s="262"/>
      <c r="GC136" s="262"/>
      <c r="GD136" s="262"/>
      <c r="GE136" s="262"/>
      <c r="GF136" s="262"/>
      <c r="GG136" s="262"/>
      <c r="GH136" s="262"/>
      <c r="GI136" s="262"/>
      <c r="GJ136" s="262"/>
      <c r="GK136" s="262"/>
      <c r="GL136" s="262"/>
      <c r="GM136" s="262"/>
      <c r="GN136" s="262"/>
      <c r="GO136" s="262"/>
      <c r="GP136" s="262"/>
      <c r="GQ136" s="262"/>
      <c r="GR136" s="262"/>
      <c r="GS136" s="262"/>
      <c r="GT136" s="262"/>
      <c r="GU136" s="262"/>
      <c r="GV136" s="262"/>
      <c r="GW136" s="262"/>
      <c r="GX136" s="262"/>
      <c r="GY136" s="262"/>
      <c r="GZ136" s="262"/>
      <c r="HA136" s="262"/>
      <c r="HB136" s="262"/>
      <c r="HC136" s="262"/>
      <c r="HD136" s="262"/>
      <c r="HE136" s="262"/>
      <c r="HF136" s="262"/>
      <c r="HG136" s="262"/>
      <c r="HH136" s="262"/>
      <c r="HI136" s="262"/>
      <c r="HJ136" s="262"/>
      <c r="HK136" s="262"/>
      <c r="HL136" s="262"/>
      <c r="HM136" s="262"/>
      <c r="HN136" s="262"/>
      <c r="HO136" s="262"/>
      <c r="HP136" s="262"/>
      <c r="HQ136" s="262"/>
      <c r="HR136" s="262"/>
      <c r="HS136" s="262"/>
      <c r="HT136" s="262"/>
      <c r="HU136" s="262"/>
      <c r="HV136" s="262"/>
      <c r="HW136" s="262"/>
      <c r="HX136" s="262"/>
      <c r="HY136" s="262"/>
      <c r="HZ136" s="262"/>
      <c r="IA136" s="262"/>
      <c r="IB136" s="262"/>
      <c r="IC136" s="262"/>
      <c r="ID136" s="262"/>
      <c r="IE136" s="262"/>
      <c r="IF136" s="262"/>
      <c r="IG136" s="262"/>
      <c r="IH136" s="262"/>
      <c r="II136" s="262"/>
      <c r="IJ136" s="262"/>
      <c r="IK136" s="262"/>
      <c r="IL136" s="262"/>
      <c r="IM136" s="262"/>
      <c r="IN136" s="262"/>
      <c r="IO136" s="262"/>
      <c r="IP136" s="262"/>
      <c r="IQ136" s="262"/>
      <c r="IR136" s="262"/>
      <c r="IS136" s="262"/>
      <c r="IT136" s="262"/>
      <c r="IU136" s="262"/>
      <c r="IV136" s="262"/>
      <c r="IW136" s="262"/>
      <c r="IX136" s="262"/>
      <c r="IY136" s="262"/>
      <c r="IZ136" s="262"/>
      <c r="JA136" s="262"/>
      <c r="JB136" s="262"/>
      <c r="JC136" s="262"/>
      <c r="JD136" s="262"/>
      <c r="JE136" s="262"/>
      <c r="JF136" s="262"/>
      <c r="JG136" s="262"/>
      <c r="JH136" s="262"/>
      <c r="JI136" s="262"/>
      <c r="JJ136" s="262"/>
      <c r="JK136" s="262"/>
      <c r="JL136" s="262"/>
      <c r="JM136" s="262"/>
      <c r="JN136" s="262"/>
      <c r="JO136" s="262"/>
      <c r="JP136" s="262"/>
      <c r="JQ136" s="262"/>
      <c r="JR136" s="262"/>
      <c r="JS136" s="262"/>
      <c r="JT136" s="262"/>
      <c r="JU136" s="262"/>
      <c r="JV136" s="262"/>
      <c r="JW136" s="262"/>
      <c r="JX136" s="262"/>
      <c r="JY136" s="262"/>
      <c r="JZ136" s="262"/>
      <c r="KA136" s="262"/>
      <c r="KB136" s="262"/>
      <c r="KC136" s="262"/>
      <c r="KD136" s="262"/>
      <c r="KE136" s="262"/>
      <c r="KF136" s="262"/>
      <c r="KG136" s="262"/>
      <c r="KH136" s="262"/>
      <c r="KI136" s="262"/>
      <c r="KJ136" s="262"/>
      <c r="KK136" s="262"/>
      <c r="KL136" s="262"/>
      <c r="KM136" s="262"/>
      <c r="KN136" s="262"/>
      <c r="KO136" s="262"/>
      <c r="KP136" s="262"/>
      <c r="KQ136" s="262"/>
      <c r="KR136" s="262"/>
      <c r="KS136" s="262"/>
      <c r="KT136" s="262"/>
      <c r="KU136" s="262"/>
      <c r="KV136" s="262"/>
      <c r="KW136" s="262"/>
      <c r="KX136" s="262"/>
      <c r="KY136" s="262"/>
      <c r="KZ136" s="262"/>
    </row>
    <row r="137" spans="1:312" s="96" customFormat="1" ht="50" customHeight="1">
      <c r="A137" s="263" t="s">
        <v>184</v>
      </c>
      <c r="B137" s="264"/>
      <c r="C137" s="86"/>
      <c r="D137" s="86"/>
      <c r="E137" s="60">
        <v>1599</v>
      </c>
      <c r="F137" s="86" t="e">
        <f t="shared" si="4"/>
        <v>#DIV/0!</v>
      </c>
      <c r="G137" s="87">
        <v>2</v>
      </c>
      <c r="H137" s="87">
        <v>5</v>
      </c>
      <c r="I137" s="87"/>
      <c r="J137" s="87" t="s">
        <v>204</v>
      </c>
      <c r="K137" s="265" t="s">
        <v>506</v>
      </c>
      <c r="L137" s="97" t="s">
        <v>689</v>
      </c>
      <c r="M137" s="90"/>
      <c r="N137" s="99" t="s">
        <v>335</v>
      </c>
      <c r="O137" s="99" t="s">
        <v>335</v>
      </c>
      <c r="P137" s="266"/>
      <c r="Q137" s="95" t="s">
        <v>689</v>
      </c>
      <c r="R137" s="95" t="s">
        <v>689</v>
      </c>
      <c r="S137" s="60">
        <v>1599</v>
      </c>
      <c r="T137" s="263">
        <f t="shared" si="5"/>
        <v>3198</v>
      </c>
      <c r="U137" s="262"/>
      <c r="V137" s="262"/>
      <c r="W137" s="262"/>
      <c r="X137" s="262"/>
      <c r="Y137" s="262"/>
      <c r="Z137" s="262"/>
      <c r="AA137" s="262"/>
      <c r="AB137" s="262"/>
      <c r="AC137" s="262"/>
      <c r="AD137" s="262"/>
      <c r="AE137" s="262"/>
      <c r="AF137" s="262"/>
      <c r="AG137" s="262"/>
      <c r="AH137" s="262"/>
      <c r="AI137" s="262"/>
      <c r="AJ137" s="262"/>
      <c r="AK137" s="262"/>
      <c r="AL137" s="262"/>
      <c r="AM137" s="262"/>
      <c r="AN137" s="262"/>
      <c r="AO137" s="262"/>
      <c r="AP137" s="262"/>
      <c r="AQ137" s="262"/>
      <c r="AR137" s="262"/>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262"/>
      <c r="BT137" s="262"/>
      <c r="BU137" s="262"/>
      <c r="BV137" s="262"/>
      <c r="BW137" s="262"/>
      <c r="BX137" s="262"/>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2"/>
      <c r="CV137" s="262"/>
      <c r="CW137" s="262"/>
      <c r="CX137" s="262"/>
      <c r="CY137" s="262"/>
      <c r="CZ137" s="262"/>
      <c r="DA137" s="262"/>
      <c r="DB137" s="262"/>
      <c r="DC137" s="262"/>
      <c r="DD137" s="262"/>
      <c r="DE137" s="262"/>
      <c r="DF137" s="262"/>
      <c r="DG137" s="262"/>
      <c r="DH137" s="262"/>
      <c r="DI137" s="262"/>
      <c r="DJ137" s="262"/>
      <c r="DK137" s="262"/>
      <c r="DL137" s="262"/>
      <c r="DM137" s="262"/>
      <c r="DN137" s="262"/>
      <c r="DO137" s="262"/>
      <c r="DP137" s="262"/>
      <c r="DQ137" s="262"/>
      <c r="DR137" s="262"/>
      <c r="DS137" s="262"/>
      <c r="DT137" s="262"/>
      <c r="DU137" s="262"/>
      <c r="DV137" s="262"/>
      <c r="DW137" s="262"/>
      <c r="DX137" s="262"/>
      <c r="DY137" s="262"/>
      <c r="DZ137" s="262"/>
      <c r="EA137" s="262"/>
      <c r="EB137" s="262"/>
      <c r="EC137" s="262"/>
      <c r="ED137" s="262"/>
      <c r="EE137" s="262"/>
      <c r="EF137" s="262"/>
      <c r="EG137" s="262"/>
      <c r="EH137" s="262"/>
      <c r="EI137" s="262"/>
      <c r="EJ137" s="262"/>
      <c r="EK137" s="262"/>
      <c r="EL137" s="262"/>
      <c r="EM137" s="262"/>
      <c r="EN137" s="262"/>
      <c r="EO137" s="262"/>
      <c r="EP137" s="262"/>
      <c r="EQ137" s="262"/>
      <c r="ER137" s="262"/>
      <c r="ES137" s="262"/>
      <c r="ET137" s="262"/>
      <c r="EU137" s="262"/>
      <c r="EV137" s="262"/>
      <c r="EW137" s="262"/>
      <c r="EX137" s="262"/>
      <c r="EY137" s="262"/>
      <c r="EZ137" s="262"/>
      <c r="FA137" s="262"/>
      <c r="FB137" s="262"/>
      <c r="FC137" s="262"/>
      <c r="FD137" s="262"/>
      <c r="FE137" s="262"/>
      <c r="FF137" s="262"/>
      <c r="FG137" s="262"/>
      <c r="FH137" s="262"/>
      <c r="FI137" s="262"/>
      <c r="FJ137" s="262"/>
      <c r="FK137" s="262"/>
      <c r="FL137" s="262"/>
      <c r="FM137" s="262"/>
      <c r="FN137" s="262"/>
      <c r="FO137" s="262"/>
      <c r="FP137" s="262"/>
      <c r="FQ137" s="262"/>
      <c r="FR137" s="262"/>
      <c r="FS137" s="262"/>
      <c r="FT137" s="262"/>
      <c r="FU137" s="262"/>
      <c r="FV137" s="262"/>
      <c r="FW137" s="262"/>
      <c r="FX137" s="262"/>
      <c r="FY137" s="262"/>
      <c r="FZ137" s="262"/>
      <c r="GA137" s="262"/>
      <c r="GB137" s="262"/>
      <c r="GC137" s="262"/>
      <c r="GD137" s="262"/>
      <c r="GE137" s="262"/>
      <c r="GF137" s="262"/>
      <c r="GG137" s="262"/>
      <c r="GH137" s="262"/>
      <c r="GI137" s="262"/>
      <c r="GJ137" s="262"/>
      <c r="GK137" s="262"/>
      <c r="GL137" s="262"/>
      <c r="GM137" s="262"/>
      <c r="GN137" s="262"/>
      <c r="GO137" s="262"/>
      <c r="GP137" s="262"/>
      <c r="GQ137" s="262"/>
      <c r="GR137" s="262"/>
      <c r="GS137" s="262"/>
      <c r="GT137" s="262"/>
      <c r="GU137" s="262"/>
      <c r="GV137" s="262"/>
      <c r="GW137" s="262"/>
      <c r="GX137" s="262"/>
      <c r="GY137" s="262"/>
      <c r="GZ137" s="262"/>
      <c r="HA137" s="262"/>
      <c r="HB137" s="262"/>
      <c r="HC137" s="262"/>
      <c r="HD137" s="262"/>
      <c r="HE137" s="262"/>
      <c r="HF137" s="262"/>
      <c r="HG137" s="262"/>
      <c r="HH137" s="262"/>
      <c r="HI137" s="262"/>
      <c r="HJ137" s="262"/>
      <c r="HK137" s="262"/>
      <c r="HL137" s="262"/>
      <c r="HM137" s="262"/>
      <c r="HN137" s="262"/>
      <c r="HO137" s="262"/>
      <c r="HP137" s="262"/>
      <c r="HQ137" s="262"/>
      <c r="HR137" s="262"/>
      <c r="HS137" s="262"/>
      <c r="HT137" s="262"/>
      <c r="HU137" s="262"/>
      <c r="HV137" s="262"/>
      <c r="HW137" s="262"/>
      <c r="HX137" s="262"/>
      <c r="HY137" s="262"/>
      <c r="HZ137" s="262"/>
      <c r="IA137" s="262"/>
      <c r="IB137" s="262"/>
      <c r="IC137" s="262"/>
      <c r="ID137" s="262"/>
      <c r="IE137" s="262"/>
      <c r="IF137" s="262"/>
      <c r="IG137" s="262"/>
      <c r="IH137" s="262"/>
      <c r="II137" s="262"/>
      <c r="IJ137" s="262"/>
      <c r="IK137" s="262"/>
      <c r="IL137" s="262"/>
      <c r="IM137" s="262"/>
      <c r="IN137" s="262"/>
      <c r="IO137" s="262"/>
      <c r="IP137" s="262"/>
      <c r="IQ137" s="262"/>
      <c r="IR137" s="262"/>
      <c r="IS137" s="262"/>
      <c r="IT137" s="262"/>
      <c r="IU137" s="262"/>
      <c r="IV137" s="262"/>
      <c r="IW137" s="262"/>
      <c r="IX137" s="262"/>
      <c r="IY137" s="262"/>
      <c r="IZ137" s="262"/>
      <c r="JA137" s="262"/>
      <c r="JB137" s="262"/>
      <c r="JC137" s="262"/>
      <c r="JD137" s="262"/>
      <c r="JE137" s="262"/>
      <c r="JF137" s="262"/>
      <c r="JG137" s="262"/>
      <c r="JH137" s="262"/>
      <c r="JI137" s="262"/>
      <c r="JJ137" s="262"/>
      <c r="JK137" s="262"/>
      <c r="JL137" s="262"/>
      <c r="JM137" s="262"/>
      <c r="JN137" s="262"/>
      <c r="JO137" s="262"/>
      <c r="JP137" s="262"/>
      <c r="JQ137" s="262"/>
      <c r="JR137" s="262"/>
      <c r="JS137" s="262"/>
      <c r="JT137" s="262"/>
      <c r="JU137" s="262"/>
      <c r="JV137" s="262"/>
      <c r="JW137" s="262"/>
      <c r="JX137" s="262"/>
      <c r="JY137" s="262"/>
      <c r="JZ137" s="262"/>
      <c r="KA137" s="262"/>
      <c r="KB137" s="262"/>
      <c r="KC137" s="262"/>
      <c r="KD137" s="262"/>
      <c r="KE137" s="262"/>
      <c r="KF137" s="262"/>
      <c r="KG137" s="262"/>
      <c r="KH137" s="262"/>
      <c r="KI137" s="262"/>
      <c r="KJ137" s="262"/>
      <c r="KK137" s="262"/>
      <c r="KL137" s="262"/>
      <c r="KM137" s="262"/>
      <c r="KN137" s="262"/>
      <c r="KO137" s="262"/>
      <c r="KP137" s="262"/>
      <c r="KQ137" s="262"/>
      <c r="KR137" s="262"/>
      <c r="KS137" s="262"/>
      <c r="KT137" s="262"/>
      <c r="KU137" s="262"/>
      <c r="KV137" s="262"/>
      <c r="KW137" s="262"/>
      <c r="KX137" s="262"/>
      <c r="KY137" s="262"/>
      <c r="KZ137" s="262"/>
    </row>
    <row r="138" spans="1:312" s="85" customFormat="1" ht="50" customHeight="1">
      <c r="A138" s="263" t="s">
        <v>196</v>
      </c>
      <c r="B138" s="264"/>
      <c r="C138" s="86"/>
      <c r="D138" s="86"/>
      <c r="E138" s="60">
        <v>68</v>
      </c>
      <c r="F138" s="86" t="e">
        <f t="shared" si="4"/>
        <v>#DIV/0!</v>
      </c>
      <c r="G138" s="87">
        <v>2</v>
      </c>
      <c r="H138" s="87">
        <v>5</v>
      </c>
      <c r="I138" s="87"/>
      <c r="J138" s="87" t="s">
        <v>204</v>
      </c>
      <c r="K138" s="89" t="s">
        <v>525</v>
      </c>
      <c r="L138" s="94"/>
      <c r="M138" s="94"/>
      <c r="N138" s="91"/>
      <c r="O138" s="91" t="s">
        <v>335</v>
      </c>
      <c r="P138" s="92"/>
      <c r="Q138" s="95" t="s">
        <v>689</v>
      </c>
      <c r="R138" s="95" t="s">
        <v>689</v>
      </c>
      <c r="S138" s="60">
        <v>68</v>
      </c>
      <c r="T138" s="263">
        <f t="shared" si="5"/>
        <v>136</v>
      </c>
      <c r="U138" s="262"/>
      <c r="V138" s="262"/>
      <c r="W138" s="262"/>
      <c r="X138" s="262"/>
      <c r="Y138" s="262"/>
      <c r="Z138" s="262"/>
      <c r="AA138" s="262"/>
      <c r="AB138" s="262"/>
      <c r="AC138" s="262"/>
      <c r="AD138" s="262"/>
      <c r="AE138" s="262"/>
      <c r="AF138" s="262"/>
      <c r="AG138" s="262"/>
      <c r="AH138" s="262"/>
      <c r="AI138" s="262"/>
      <c r="AJ138" s="262"/>
      <c r="AK138" s="262"/>
      <c r="AL138" s="262"/>
      <c r="AM138" s="262"/>
      <c r="AN138" s="262"/>
      <c r="AO138" s="262"/>
      <c r="AP138" s="262"/>
      <c r="AQ138" s="262"/>
      <c r="AR138" s="262"/>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262"/>
      <c r="BT138" s="262"/>
      <c r="BU138" s="262"/>
      <c r="BV138" s="262"/>
      <c r="BW138" s="262"/>
      <c r="BX138" s="262"/>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2"/>
      <c r="CV138" s="262"/>
      <c r="CW138" s="262"/>
      <c r="CX138" s="262"/>
      <c r="CY138" s="262"/>
      <c r="CZ138" s="262"/>
      <c r="DA138" s="262"/>
      <c r="DB138" s="262"/>
      <c r="DC138" s="262"/>
      <c r="DD138" s="262"/>
      <c r="DE138" s="262"/>
      <c r="DF138" s="262"/>
      <c r="DG138" s="262"/>
      <c r="DH138" s="262"/>
      <c r="DI138" s="262"/>
      <c r="DJ138" s="262"/>
      <c r="DK138" s="262"/>
      <c r="DL138" s="262"/>
      <c r="DM138" s="262"/>
      <c r="DN138" s="262"/>
      <c r="DO138" s="262"/>
      <c r="DP138" s="262"/>
      <c r="DQ138" s="262"/>
      <c r="DR138" s="262"/>
      <c r="DS138" s="262"/>
      <c r="DT138" s="262"/>
      <c r="DU138" s="262"/>
      <c r="DV138" s="262"/>
      <c r="DW138" s="262"/>
      <c r="DX138" s="262"/>
      <c r="DY138" s="262"/>
      <c r="DZ138" s="262"/>
      <c r="EA138" s="262"/>
      <c r="EB138" s="262"/>
      <c r="EC138" s="262"/>
      <c r="ED138" s="262"/>
      <c r="EE138" s="262"/>
      <c r="EF138" s="262"/>
      <c r="EG138" s="262"/>
      <c r="EH138" s="262"/>
      <c r="EI138" s="262"/>
      <c r="EJ138" s="262"/>
      <c r="EK138" s="262"/>
      <c r="EL138" s="262"/>
      <c r="EM138" s="262"/>
      <c r="EN138" s="262"/>
      <c r="EO138" s="262"/>
      <c r="EP138" s="262"/>
      <c r="EQ138" s="262"/>
      <c r="ER138" s="262"/>
      <c r="ES138" s="262"/>
      <c r="ET138" s="262"/>
      <c r="EU138" s="262"/>
      <c r="EV138" s="262"/>
      <c r="EW138" s="262"/>
      <c r="EX138" s="262"/>
      <c r="EY138" s="262"/>
      <c r="EZ138" s="262"/>
      <c r="FA138" s="262"/>
      <c r="FB138" s="262"/>
      <c r="FC138" s="262"/>
      <c r="FD138" s="262"/>
      <c r="FE138" s="262"/>
      <c r="FF138" s="262"/>
      <c r="FG138" s="262"/>
      <c r="FH138" s="262"/>
      <c r="FI138" s="262"/>
      <c r="FJ138" s="262"/>
      <c r="FK138" s="262"/>
      <c r="FL138" s="262"/>
      <c r="FM138" s="262"/>
      <c r="FN138" s="262"/>
      <c r="FO138" s="262"/>
      <c r="FP138" s="262"/>
      <c r="FQ138" s="262"/>
      <c r="FR138" s="262"/>
      <c r="FS138" s="262"/>
      <c r="FT138" s="262"/>
      <c r="FU138" s="262"/>
      <c r="FV138" s="262"/>
      <c r="FW138" s="262"/>
      <c r="FX138" s="262"/>
      <c r="FY138" s="262"/>
      <c r="FZ138" s="262"/>
      <c r="GA138" s="262"/>
      <c r="GB138" s="262"/>
      <c r="GC138" s="262"/>
      <c r="GD138" s="262"/>
      <c r="GE138" s="262"/>
      <c r="GF138" s="262"/>
      <c r="GG138" s="262"/>
      <c r="GH138" s="262"/>
      <c r="GI138" s="262"/>
      <c r="GJ138" s="262"/>
      <c r="GK138" s="262"/>
      <c r="GL138" s="262"/>
      <c r="GM138" s="262"/>
      <c r="GN138" s="262"/>
      <c r="GO138" s="262"/>
      <c r="GP138" s="262"/>
      <c r="GQ138" s="262"/>
      <c r="GR138" s="262"/>
      <c r="GS138" s="262"/>
      <c r="GT138" s="262"/>
      <c r="GU138" s="262"/>
      <c r="GV138" s="262"/>
      <c r="GW138" s="262"/>
      <c r="GX138" s="262"/>
      <c r="GY138" s="262"/>
      <c r="GZ138" s="262"/>
      <c r="HA138" s="262"/>
      <c r="HB138" s="262"/>
      <c r="HC138" s="262"/>
      <c r="HD138" s="262"/>
      <c r="HE138" s="262"/>
      <c r="HF138" s="262"/>
      <c r="HG138" s="262"/>
      <c r="HH138" s="262"/>
      <c r="HI138" s="262"/>
      <c r="HJ138" s="262"/>
      <c r="HK138" s="262"/>
      <c r="HL138" s="262"/>
      <c r="HM138" s="262"/>
      <c r="HN138" s="262"/>
      <c r="HO138" s="262"/>
      <c r="HP138" s="262"/>
      <c r="HQ138" s="262"/>
      <c r="HR138" s="262"/>
      <c r="HS138" s="262"/>
      <c r="HT138" s="262"/>
      <c r="HU138" s="262"/>
      <c r="HV138" s="262"/>
      <c r="HW138" s="262"/>
      <c r="HX138" s="262"/>
      <c r="HY138" s="262"/>
      <c r="HZ138" s="262"/>
      <c r="IA138" s="262"/>
      <c r="IB138" s="262"/>
      <c r="IC138" s="262"/>
      <c r="ID138" s="262"/>
      <c r="IE138" s="262"/>
      <c r="IF138" s="262"/>
      <c r="IG138" s="262"/>
      <c r="IH138" s="262"/>
      <c r="II138" s="262"/>
      <c r="IJ138" s="262"/>
      <c r="IK138" s="262"/>
      <c r="IL138" s="262"/>
      <c r="IM138" s="262"/>
      <c r="IN138" s="262"/>
      <c r="IO138" s="262"/>
      <c r="IP138" s="262"/>
      <c r="IQ138" s="262"/>
      <c r="IR138" s="262"/>
      <c r="IS138" s="262"/>
      <c r="IT138" s="262"/>
      <c r="IU138" s="262"/>
      <c r="IV138" s="262"/>
      <c r="IW138" s="262"/>
      <c r="IX138" s="262"/>
      <c r="IY138" s="262"/>
      <c r="IZ138" s="262"/>
      <c r="JA138" s="262"/>
      <c r="JB138" s="262"/>
      <c r="JC138" s="262"/>
      <c r="JD138" s="262"/>
      <c r="JE138" s="262"/>
      <c r="JF138" s="262"/>
      <c r="JG138" s="262"/>
      <c r="JH138" s="262"/>
      <c r="JI138" s="262"/>
      <c r="JJ138" s="262"/>
      <c r="JK138" s="262"/>
      <c r="JL138" s="262"/>
      <c r="JM138" s="262"/>
      <c r="JN138" s="262"/>
      <c r="JO138" s="262"/>
      <c r="JP138" s="262"/>
      <c r="JQ138" s="262"/>
      <c r="JR138" s="262"/>
      <c r="JS138" s="262"/>
      <c r="JT138" s="262"/>
      <c r="JU138" s="262"/>
      <c r="JV138" s="262"/>
      <c r="JW138" s="262"/>
      <c r="JX138" s="262"/>
      <c r="JY138" s="262"/>
      <c r="JZ138" s="262"/>
      <c r="KA138" s="262"/>
      <c r="KB138" s="262"/>
      <c r="KC138" s="262"/>
      <c r="KD138" s="262"/>
      <c r="KE138" s="262"/>
      <c r="KF138" s="262"/>
      <c r="KG138" s="262"/>
      <c r="KH138" s="262"/>
      <c r="KI138" s="262"/>
      <c r="KJ138" s="262"/>
      <c r="KK138" s="262"/>
      <c r="KL138" s="262"/>
      <c r="KM138" s="262"/>
      <c r="KN138" s="262"/>
      <c r="KO138" s="262"/>
      <c r="KP138" s="262"/>
      <c r="KQ138" s="262"/>
      <c r="KR138" s="262"/>
      <c r="KS138" s="262"/>
      <c r="KT138" s="262"/>
      <c r="KU138" s="262"/>
      <c r="KV138" s="262"/>
      <c r="KW138" s="262"/>
      <c r="KX138" s="262"/>
      <c r="KY138" s="262"/>
      <c r="KZ138" s="262"/>
    </row>
    <row r="139" spans="1:312" s="85" customFormat="1" ht="50" customHeight="1">
      <c r="A139" s="263" t="s">
        <v>90</v>
      </c>
      <c r="B139" s="264"/>
      <c r="C139" s="86"/>
      <c r="D139" s="86"/>
      <c r="E139" s="60">
        <v>1599</v>
      </c>
      <c r="F139" s="86" t="e">
        <f t="shared" si="4"/>
        <v>#DIV/0!</v>
      </c>
      <c r="G139" s="87">
        <v>2</v>
      </c>
      <c r="H139" s="87">
        <v>5</v>
      </c>
      <c r="I139" s="87"/>
      <c r="J139" s="87" t="s">
        <v>217</v>
      </c>
      <c r="K139" s="89" t="s">
        <v>224</v>
      </c>
      <c r="L139" s="90" t="s">
        <v>689</v>
      </c>
      <c r="M139" s="94"/>
      <c r="N139" s="91" t="s">
        <v>335</v>
      </c>
      <c r="O139" s="91" t="s">
        <v>335</v>
      </c>
      <c r="P139" s="92"/>
      <c r="Q139" s="93" t="s">
        <v>689</v>
      </c>
      <c r="R139" s="95"/>
      <c r="S139" s="60">
        <v>1599</v>
      </c>
      <c r="T139" s="263">
        <f t="shared" si="5"/>
        <v>3198</v>
      </c>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262"/>
      <c r="BT139" s="262"/>
      <c r="BU139" s="262"/>
      <c r="BV139" s="262"/>
      <c r="BW139" s="262"/>
      <c r="BX139" s="262"/>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2"/>
      <c r="CV139" s="262"/>
      <c r="CW139" s="262"/>
      <c r="CX139" s="262"/>
      <c r="CY139" s="262"/>
      <c r="CZ139" s="262"/>
      <c r="DA139" s="262"/>
      <c r="DB139" s="262"/>
      <c r="DC139" s="262"/>
      <c r="DD139" s="262"/>
      <c r="DE139" s="262"/>
      <c r="DF139" s="262"/>
      <c r="DG139" s="262"/>
      <c r="DH139" s="262"/>
      <c r="DI139" s="262"/>
      <c r="DJ139" s="262"/>
      <c r="DK139" s="262"/>
      <c r="DL139" s="262"/>
      <c r="DM139" s="262"/>
      <c r="DN139" s="262"/>
      <c r="DO139" s="262"/>
      <c r="DP139" s="262"/>
      <c r="DQ139" s="262"/>
      <c r="DR139" s="262"/>
      <c r="DS139" s="262"/>
      <c r="DT139" s="262"/>
      <c r="DU139" s="262"/>
      <c r="DV139" s="262"/>
      <c r="DW139" s="262"/>
      <c r="DX139" s="262"/>
      <c r="DY139" s="262"/>
      <c r="DZ139" s="262"/>
      <c r="EA139" s="262"/>
      <c r="EB139" s="262"/>
      <c r="EC139" s="262"/>
      <c r="ED139" s="262"/>
      <c r="EE139" s="262"/>
      <c r="EF139" s="262"/>
      <c r="EG139" s="262"/>
      <c r="EH139" s="262"/>
      <c r="EI139" s="262"/>
      <c r="EJ139" s="262"/>
      <c r="EK139" s="262"/>
      <c r="EL139" s="262"/>
      <c r="EM139" s="262"/>
      <c r="EN139" s="262"/>
      <c r="EO139" s="262"/>
      <c r="EP139" s="262"/>
      <c r="EQ139" s="262"/>
      <c r="ER139" s="262"/>
      <c r="ES139" s="262"/>
      <c r="ET139" s="262"/>
      <c r="EU139" s="262"/>
      <c r="EV139" s="262"/>
      <c r="EW139" s="262"/>
      <c r="EX139" s="262"/>
      <c r="EY139" s="262"/>
      <c r="EZ139" s="262"/>
      <c r="FA139" s="262"/>
      <c r="FB139" s="262"/>
      <c r="FC139" s="262"/>
      <c r="FD139" s="262"/>
      <c r="FE139" s="262"/>
      <c r="FF139" s="262"/>
      <c r="FG139" s="262"/>
      <c r="FH139" s="262"/>
      <c r="FI139" s="262"/>
      <c r="FJ139" s="262"/>
      <c r="FK139" s="262"/>
      <c r="FL139" s="262"/>
      <c r="FM139" s="262"/>
      <c r="FN139" s="262"/>
      <c r="FO139" s="262"/>
      <c r="FP139" s="262"/>
      <c r="FQ139" s="262"/>
      <c r="FR139" s="262"/>
      <c r="FS139" s="262"/>
      <c r="FT139" s="262"/>
      <c r="FU139" s="262"/>
      <c r="FV139" s="262"/>
      <c r="FW139" s="262"/>
      <c r="FX139" s="262"/>
      <c r="FY139" s="262"/>
      <c r="FZ139" s="262"/>
      <c r="GA139" s="262"/>
      <c r="GB139" s="262"/>
      <c r="GC139" s="262"/>
      <c r="GD139" s="262"/>
      <c r="GE139" s="262"/>
      <c r="GF139" s="262"/>
      <c r="GG139" s="262"/>
      <c r="GH139" s="262"/>
      <c r="GI139" s="262"/>
      <c r="GJ139" s="262"/>
      <c r="GK139" s="262"/>
      <c r="GL139" s="262"/>
      <c r="GM139" s="262"/>
      <c r="GN139" s="262"/>
      <c r="GO139" s="262"/>
      <c r="GP139" s="262"/>
      <c r="GQ139" s="262"/>
      <c r="GR139" s="262"/>
      <c r="GS139" s="262"/>
      <c r="GT139" s="262"/>
      <c r="GU139" s="262"/>
      <c r="GV139" s="262"/>
      <c r="GW139" s="262"/>
      <c r="GX139" s="262"/>
      <c r="GY139" s="262"/>
      <c r="GZ139" s="262"/>
      <c r="HA139" s="262"/>
      <c r="HB139" s="262"/>
      <c r="HC139" s="262"/>
      <c r="HD139" s="262"/>
      <c r="HE139" s="262"/>
      <c r="HF139" s="262"/>
      <c r="HG139" s="262"/>
      <c r="HH139" s="262"/>
      <c r="HI139" s="262"/>
      <c r="HJ139" s="262"/>
      <c r="HK139" s="262"/>
      <c r="HL139" s="262"/>
      <c r="HM139" s="262"/>
      <c r="HN139" s="262"/>
      <c r="HO139" s="262"/>
      <c r="HP139" s="262"/>
      <c r="HQ139" s="262"/>
      <c r="HR139" s="262"/>
      <c r="HS139" s="262"/>
      <c r="HT139" s="262"/>
      <c r="HU139" s="262"/>
      <c r="HV139" s="262"/>
      <c r="HW139" s="262"/>
      <c r="HX139" s="262"/>
      <c r="HY139" s="262"/>
      <c r="HZ139" s="262"/>
      <c r="IA139" s="262"/>
      <c r="IB139" s="262"/>
      <c r="IC139" s="262"/>
      <c r="ID139" s="262"/>
      <c r="IE139" s="262"/>
      <c r="IF139" s="262"/>
      <c r="IG139" s="262"/>
      <c r="IH139" s="262"/>
      <c r="II139" s="262"/>
      <c r="IJ139" s="262"/>
      <c r="IK139" s="262"/>
      <c r="IL139" s="262"/>
      <c r="IM139" s="262"/>
      <c r="IN139" s="262"/>
      <c r="IO139" s="262"/>
      <c r="IP139" s="262"/>
      <c r="IQ139" s="262"/>
      <c r="IR139" s="262"/>
      <c r="IS139" s="262"/>
      <c r="IT139" s="262"/>
      <c r="IU139" s="262"/>
      <c r="IV139" s="262"/>
      <c r="IW139" s="262"/>
      <c r="IX139" s="262"/>
      <c r="IY139" s="262"/>
      <c r="IZ139" s="262"/>
      <c r="JA139" s="262"/>
      <c r="JB139" s="262"/>
      <c r="JC139" s="262"/>
      <c r="JD139" s="262"/>
      <c r="JE139" s="262"/>
      <c r="JF139" s="262"/>
      <c r="JG139" s="262"/>
      <c r="JH139" s="262"/>
      <c r="JI139" s="262"/>
      <c r="JJ139" s="262"/>
      <c r="JK139" s="262"/>
      <c r="JL139" s="262"/>
      <c r="JM139" s="262"/>
      <c r="JN139" s="262"/>
      <c r="JO139" s="262"/>
      <c r="JP139" s="262"/>
      <c r="JQ139" s="262"/>
      <c r="JR139" s="262"/>
      <c r="JS139" s="262"/>
      <c r="JT139" s="262"/>
      <c r="JU139" s="262"/>
      <c r="JV139" s="262"/>
      <c r="JW139" s="262"/>
      <c r="JX139" s="262"/>
      <c r="JY139" s="262"/>
      <c r="JZ139" s="262"/>
      <c r="KA139" s="262"/>
      <c r="KB139" s="262"/>
      <c r="KC139" s="262"/>
      <c r="KD139" s="262"/>
      <c r="KE139" s="262"/>
      <c r="KF139" s="262"/>
      <c r="KG139" s="262"/>
      <c r="KH139" s="262"/>
      <c r="KI139" s="262"/>
      <c r="KJ139" s="262"/>
      <c r="KK139" s="262"/>
      <c r="KL139" s="262"/>
      <c r="KM139" s="262"/>
      <c r="KN139" s="262"/>
      <c r="KO139" s="262"/>
      <c r="KP139" s="262"/>
      <c r="KQ139" s="262"/>
      <c r="KR139" s="262"/>
      <c r="KS139" s="262"/>
      <c r="KT139" s="262"/>
      <c r="KU139" s="262"/>
      <c r="KV139" s="262"/>
      <c r="KW139" s="262"/>
      <c r="KX139" s="262"/>
      <c r="KY139" s="262"/>
      <c r="KZ139" s="262"/>
    </row>
    <row r="140" spans="1:312" s="85" customFormat="1" ht="50" customHeight="1">
      <c r="A140" s="263" t="s">
        <v>292</v>
      </c>
      <c r="B140" s="264"/>
      <c r="C140" s="86"/>
      <c r="D140" s="86"/>
      <c r="E140" s="60">
        <v>68</v>
      </c>
      <c r="F140" s="86" t="e">
        <f t="shared" si="4"/>
        <v>#DIV/0!</v>
      </c>
      <c r="G140" s="87">
        <v>2</v>
      </c>
      <c r="H140" s="87">
        <v>5</v>
      </c>
      <c r="I140" s="87"/>
      <c r="J140" s="87" t="s">
        <v>217</v>
      </c>
      <c r="K140" s="89" t="s">
        <v>293</v>
      </c>
      <c r="L140" s="94"/>
      <c r="M140" s="94"/>
      <c r="N140" s="91"/>
      <c r="O140" s="91" t="s">
        <v>335</v>
      </c>
      <c r="P140" s="92"/>
      <c r="Q140" s="93" t="s">
        <v>689</v>
      </c>
      <c r="R140" s="95"/>
      <c r="S140" s="60">
        <v>68</v>
      </c>
      <c r="T140" s="263">
        <f t="shared" si="5"/>
        <v>136</v>
      </c>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262"/>
      <c r="BT140" s="262"/>
      <c r="BU140" s="262"/>
      <c r="BV140" s="262"/>
      <c r="BW140" s="262"/>
      <c r="BX140" s="262"/>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2"/>
      <c r="CV140" s="262"/>
      <c r="CW140" s="262"/>
      <c r="CX140" s="262"/>
      <c r="CY140" s="262"/>
      <c r="CZ140" s="262"/>
      <c r="DA140" s="262"/>
      <c r="DB140" s="262"/>
      <c r="DC140" s="262"/>
      <c r="DD140" s="262"/>
      <c r="DE140" s="262"/>
      <c r="DF140" s="262"/>
      <c r="DG140" s="262"/>
      <c r="DH140" s="262"/>
      <c r="DI140" s="262"/>
      <c r="DJ140" s="262"/>
      <c r="DK140" s="262"/>
      <c r="DL140" s="262"/>
      <c r="DM140" s="262"/>
      <c r="DN140" s="262"/>
      <c r="DO140" s="262"/>
      <c r="DP140" s="262"/>
      <c r="DQ140" s="262"/>
      <c r="DR140" s="262"/>
      <c r="DS140" s="262"/>
      <c r="DT140" s="262"/>
      <c r="DU140" s="262"/>
      <c r="DV140" s="262"/>
      <c r="DW140" s="262"/>
      <c r="DX140" s="262"/>
      <c r="DY140" s="262"/>
      <c r="DZ140" s="262"/>
      <c r="EA140" s="262"/>
      <c r="EB140" s="262"/>
      <c r="EC140" s="262"/>
      <c r="ED140" s="262"/>
      <c r="EE140" s="262"/>
      <c r="EF140" s="262"/>
      <c r="EG140" s="262"/>
      <c r="EH140" s="262"/>
      <c r="EI140" s="262"/>
      <c r="EJ140" s="262"/>
      <c r="EK140" s="262"/>
      <c r="EL140" s="262"/>
      <c r="EM140" s="262"/>
      <c r="EN140" s="262"/>
      <c r="EO140" s="262"/>
      <c r="EP140" s="262"/>
      <c r="EQ140" s="262"/>
      <c r="ER140" s="262"/>
      <c r="ES140" s="262"/>
      <c r="ET140" s="262"/>
      <c r="EU140" s="262"/>
      <c r="EV140" s="262"/>
      <c r="EW140" s="262"/>
      <c r="EX140" s="262"/>
      <c r="EY140" s="262"/>
      <c r="EZ140" s="262"/>
      <c r="FA140" s="262"/>
      <c r="FB140" s="262"/>
      <c r="FC140" s="262"/>
      <c r="FD140" s="262"/>
      <c r="FE140" s="262"/>
      <c r="FF140" s="262"/>
      <c r="FG140" s="262"/>
      <c r="FH140" s="262"/>
      <c r="FI140" s="262"/>
      <c r="FJ140" s="262"/>
      <c r="FK140" s="262"/>
      <c r="FL140" s="262"/>
      <c r="FM140" s="262"/>
      <c r="FN140" s="262"/>
      <c r="FO140" s="262"/>
      <c r="FP140" s="262"/>
      <c r="FQ140" s="262"/>
      <c r="FR140" s="262"/>
      <c r="FS140" s="262"/>
      <c r="FT140" s="262"/>
      <c r="FU140" s="262"/>
      <c r="FV140" s="262"/>
      <c r="FW140" s="262"/>
      <c r="FX140" s="262"/>
      <c r="FY140" s="262"/>
      <c r="FZ140" s="262"/>
      <c r="GA140" s="262"/>
      <c r="GB140" s="262"/>
      <c r="GC140" s="262"/>
      <c r="GD140" s="262"/>
      <c r="GE140" s="262"/>
      <c r="GF140" s="262"/>
      <c r="GG140" s="262"/>
      <c r="GH140" s="262"/>
      <c r="GI140" s="262"/>
      <c r="GJ140" s="262"/>
      <c r="GK140" s="262"/>
      <c r="GL140" s="262"/>
      <c r="GM140" s="262"/>
      <c r="GN140" s="262"/>
      <c r="GO140" s="262"/>
      <c r="GP140" s="262"/>
      <c r="GQ140" s="262"/>
      <c r="GR140" s="262"/>
      <c r="GS140" s="262"/>
      <c r="GT140" s="262"/>
      <c r="GU140" s="262"/>
      <c r="GV140" s="262"/>
      <c r="GW140" s="262"/>
      <c r="GX140" s="262"/>
      <c r="GY140" s="262"/>
      <c r="GZ140" s="262"/>
      <c r="HA140" s="262"/>
      <c r="HB140" s="262"/>
      <c r="HC140" s="262"/>
      <c r="HD140" s="262"/>
      <c r="HE140" s="262"/>
      <c r="HF140" s="262"/>
      <c r="HG140" s="262"/>
      <c r="HH140" s="262"/>
      <c r="HI140" s="262"/>
      <c r="HJ140" s="262"/>
      <c r="HK140" s="262"/>
      <c r="HL140" s="262"/>
      <c r="HM140" s="262"/>
      <c r="HN140" s="262"/>
      <c r="HO140" s="262"/>
      <c r="HP140" s="262"/>
      <c r="HQ140" s="262"/>
      <c r="HR140" s="262"/>
      <c r="HS140" s="262"/>
      <c r="HT140" s="262"/>
      <c r="HU140" s="262"/>
      <c r="HV140" s="262"/>
      <c r="HW140" s="262"/>
      <c r="HX140" s="262"/>
      <c r="HY140" s="262"/>
      <c r="HZ140" s="262"/>
      <c r="IA140" s="262"/>
      <c r="IB140" s="262"/>
      <c r="IC140" s="262"/>
      <c r="ID140" s="262"/>
      <c r="IE140" s="262"/>
      <c r="IF140" s="262"/>
      <c r="IG140" s="262"/>
      <c r="IH140" s="262"/>
      <c r="II140" s="262"/>
      <c r="IJ140" s="262"/>
      <c r="IK140" s="262"/>
      <c r="IL140" s="262"/>
      <c r="IM140" s="262"/>
      <c r="IN140" s="262"/>
      <c r="IO140" s="262"/>
      <c r="IP140" s="262"/>
      <c r="IQ140" s="262"/>
      <c r="IR140" s="262"/>
      <c r="IS140" s="262"/>
      <c r="IT140" s="262"/>
      <c r="IU140" s="262"/>
      <c r="IV140" s="262"/>
      <c r="IW140" s="262"/>
      <c r="IX140" s="262"/>
      <c r="IY140" s="262"/>
      <c r="IZ140" s="262"/>
      <c r="JA140" s="262"/>
      <c r="JB140" s="262"/>
      <c r="JC140" s="262"/>
      <c r="JD140" s="262"/>
      <c r="JE140" s="262"/>
      <c r="JF140" s="262"/>
      <c r="JG140" s="262"/>
      <c r="JH140" s="262"/>
      <c r="JI140" s="262"/>
      <c r="JJ140" s="262"/>
      <c r="JK140" s="262"/>
      <c r="JL140" s="262"/>
      <c r="JM140" s="262"/>
      <c r="JN140" s="262"/>
      <c r="JO140" s="262"/>
      <c r="JP140" s="262"/>
      <c r="JQ140" s="262"/>
      <c r="JR140" s="262"/>
      <c r="JS140" s="262"/>
      <c r="JT140" s="262"/>
      <c r="JU140" s="262"/>
      <c r="JV140" s="262"/>
      <c r="JW140" s="262"/>
      <c r="JX140" s="262"/>
      <c r="JY140" s="262"/>
      <c r="JZ140" s="262"/>
      <c r="KA140" s="262"/>
      <c r="KB140" s="262"/>
      <c r="KC140" s="262"/>
      <c r="KD140" s="262"/>
      <c r="KE140" s="262"/>
      <c r="KF140" s="262"/>
      <c r="KG140" s="262"/>
      <c r="KH140" s="262"/>
      <c r="KI140" s="262"/>
      <c r="KJ140" s="262"/>
      <c r="KK140" s="262"/>
      <c r="KL140" s="262"/>
      <c r="KM140" s="262"/>
      <c r="KN140" s="262"/>
      <c r="KO140" s="262"/>
      <c r="KP140" s="262"/>
      <c r="KQ140" s="262"/>
      <c r="KR140" s="262"/>
      <c r="KS140" s="262"/>
      <c r="KT140" s="262"/>
      <c r="KU140" s="262"/>
      <c r="KV140" s="262"/>
      <c r="KW140" s="262"/>
      <c r="KX140" s="262"/>
      <c r="KY140" s="262"/>
      <c r="KZ140" s="262"/>
    </row>
    <row r="141" spans="1:312" s="85" customFormat="1" ht="50" customHeight="1">
      <c r="A141" s="263" t="s">
        <v>296</v>
      </c>
      <c r="B141" s="264"/>
      <c r="C141" s="86"/>
      <c r="D141" s="86"/>
      <c r="E141" s="60">
        <v>68</v>
      </c>
      <c r="F141" s="86" t="e">
        <f t="shared" si="4"/>
        <v>#DIV/0!</v>
      </c>
      <c r="G141" s="87">
        <v>2</v>
      </c>
      <c r="H141" s="87">
        <v>5</v>
      </c>
      <c r="I141" s="87"/>
      <c r="J141" s="87" t="s">
        <v>217</v>
      </c>
      <c r="K141" s="89" t="s">
        <v>297</v>
      </c>
      <c r="L141" s="94"/>
      <c r="M141" s="94"/>
      <c r="N141" s="91"/>
      <c r="O141" s="91" t="s">
        <v>335</v>
      </c>
      <c r="P141" s="92"/>
      <c r="Q141" s="93" t="s">
        <v>689</v>
      </c>
      <c r="R141" s="95"/>
      <c r="S141" s="60">
        <v>68</v>
      </c>
      <c r="T141" s="263">
        <f t="shared" si="5"/>
        <v>136</v>
      </c>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262"/>
      <c r="BT141" s="262"/>
      <c r="BU141" s="262"/>
      <c r="BV141" s="262"/>
      <c r="BW141" s="262"/>
      <c r="BX141" s="262"/>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2"/>
      <c r="CV141" s="262"/>
      <c r="CW141" s="262"/>
      <c r="CX141" s="262"/>
      <c r="CY141" s="262"/>
      <c r="CZ141" s="262"/>
      <c r="DA141" s="262"/>
      <c r="DB141" s="262"/>
      <c r="DC141" s="262"/>
      <c r="DD141" s="262"/>
      <c r="DE141" s="262"/>
      <c r="DF141" s="262"/>
      <c r="DG141" s="262"/>
      <c r="DH141" s="262"/>
      <c r="DI141" s="262"/>
      <c r="DJ141" s="262"/>
      <c r="DK141" s="262"/>
      <c r="DL141" s="262"/>
      <c r="DM141" s="262"/>
      <c r="DN141" s="262"/>
      <c r="DO141" s="262"/>
      <c r="DP141" s="262"/>
      <c r="DQ141" s="262"/>
      <c r="DR141" s="262"/>
      <c r="DS141" s="262"/>
      <c r="DT141" s="262"/>
      <c r="DU141" s="262"/>
      <c r="DV141" s="262"/>
      <c r="DW141" s="262"/>
      <c r="DX141" s="262"/>
      <c r="DY141" s="262"/>
      <c r="DZ141" s="262"/>
      <c r="EA141" s="262"/>
      <c r="EB141" s="262"/>
      <c r="EC141" s="262"/>
      <c r="ED141" s="262"/>
      <c r="EE141" s="262"/>
      <c r="EF141" s="262"/>
      <c r="EG141" s="262"/>
      <c r="EH141" s="262"/>
      <c r="EI141" s="262"/>
      <c r="EJ141" s="262"/>
      <c r="EK141" s="262"/>
      <c r="EL141" s="262"/>
      <c r="EM141" s="262"/>
      <c r="EN141" s="262"/>
      <c r="EO141" s="262"/>
      <c r="EP141" s="262"/>
      <c r="EQ141" s="262"/>
      <c r="ER141" s="262"/>
      <c r="ES141" s="262"/>
      <c r="ET141" s="262"/>
      <c r="EU141" s="262"/>
      <c r="EV141" s="262"/>
      <c r="EW141" s="262"/>
      <c r="EX141" s="262"/>
      <c r="EY141" s="262"/>
      <c r="EZ141" s="262"/>
      <c r="FA141" s="262"/>
      <c r="FB141" s="262"/>
      <c r="FC141" s="262"/>
      <c r="FD141" s="262"/>
      <c r="FE141" s="262"/>
      <c r="FF141" s="262"/>
      <c r="FG141" s="262"/>
      <c r="FH141" s="262"/>
      <c r="FI141" s="262"/>
      <c r="FJ141" s="262"/>
      <c r="FK141" s="262"/>
      <c r="FL141" s="262"/>
      <c r="FM141" s="262"/>
      <c r="FN141" s="262"/>
      <c r="FO141" s="262"/>
      <c r="FP141" s="262"/>
      <c r="FQ141" s="262"/>
      <c r="FR141" s="262"/>
      <c r="FS141" s="262"/>
      <c r="FT141" s="262"/>
      <c r="FU141" s="262"/>
      <c r="FV141" s="262"/>
      <c r="FW141" s="262"/>
      <c r="FX141" s="262"/>
      <c r="FY141" s="262"/>
      <c r="FZ141" s="262"/>
      <c r="GA141" s="262"/>
      <c r="GB141" s="262"/>
      <c r="GC141" s="262"/>
      <c r="GD141" s="262"/>
      <c r="GE141" s="262"/>
      <c r="GF141" s="262"/>
      <c r="GG141" s="262"/>
      <c r="GH141" s="262"/>
      <c r="GI141" s="262"/>
      <c r="GJ141" s="262"/>
      <c r="GK141" s="262"/>
      <c r="GL141" s="262"/>
      <c r="GM141" s="262"/>
      <c r="GN141" s="262"/>
      <c r="GO141" s="262"/>
      <c r="GP141" s="262"/>
      <c r="GQ141" s="262"/>
      <c r="GR141" s="262"/>
      <c r="GS141" s="262"/>
      <c r="GT141" s="262"/>
      <c r="GU141" s="262"/>
      <c r="GV141" s="262"/>
      <c r="GW141" s="262"/>
      <c r="GX141" s="262"/>
      <c r="GY141" s="262"/>
      <c r="GZ141" s="262"/>
      <c r="HA141" s="262"/>
      <c r="HB141" s="262"/>
      <c r="HC141" s="262"/>
      <c r="HD141" s="262"/>
      <c r="HE141" s="262"/>
      <c r="HF141" s="262"/>
      <c r="HG141" s="262"/>
      <c r="HH141" s="262"/>
      <c r="HI141" s="262"/>
      <c r="HJ141" s="262"/>
      <c r="HK141" s="262"/>
      <c r="HL141" s="262"/>
      <c r="HM141" s="262"/>
      <c r="HN141" s="262"/>
      <c r="HO141" s="262"/>
      <c r="HP141" s="262"/>
      <c r="HQ141" s="262"/>
      <c r="HR141" s="262"/>
      <c r="HS141" s="262"/>
      <c r="HT141" s="262"/>
      <c r="HU141" s="262"/>
      <c r="HV141" s="262"/>
      <c r="HW141" s="262"/>
      <c r="HX141" s="262"/>
      <c r="HY141" s="262"/>
      <c r="HZ141" s="262"/>
      <c r="IA141" s="262"/>
      <c r="IB141" s="262"/>
      <c r="IC141" s="262"/>
      <c r="ID141" s="262"/>
      <c r="IE141" s="262"/>
      <c r="IF141" s="262"/>
      <c r="IG141" s="262"/>
      <c r="IH141" s="262"/>
      <c r="II141" s="262"/>
      <c r="IJ141" s="262"/>
      <c r="IK141" s="262"/>
      <c r="IL141" s="262"/>
      <c r="IM141" s="262"/>
      <c r="IN141" s="262"/>
      <c r="IO141" s="262"/>
      <c r="IP141" s="262"/>
      <c r="IQ141" s="262"/>
      <c r="IR141" s="262"/>
      <c r="IS141" s="262"/>
      <c r="IT141" s="262"/>
      <c r="IU141" s="262"/>
      <c r="IV141" s="262"/>
      <c r="IW141" s="262"/>
      <c r="IX141" s="262"/>
      <c r="IY141" s="262"/>
      <c r="IZ141" s="262"/>
      <c r="JA141" s="262"/>
      <c r="JB141" s="262"/>
      <c r="JC141" s="262"/>
      <c r="JD141" s="262"/>
      <c r="JE141" s="262"/>
      <c r="JF141" s="262"/>
      <c r="JG141" s="262"/>
      <c r="JH141" s="262"/>
      <c r="JI141" s="262"/>
      <c r="JJ141" s="262"/>
      <c r="JK141" s="262"/>
      <c r="JL141" s="262"/>
      <c r="JM141" s="262"/>
      <c r="JN141" s="262"/>
      <c r="JO141" s="262"/>
      <c r="JP141" s="262"/>
      <c r="JQ141" s="262"/>
      <c r="JR141" s="262"/>
      <c r="JS141" s="262"/>
      <c r="JT141" s="262"/>
      <c r="JU141" s="262"/>
      <c r="JV141" s="262"/>
      <c r="JW141" s="262"/>
      <c r="JX141" s="262"/>
      <c r="JY141" s="262"/>
      <c r="JZ141" s="262"/>
      <c r="KA141" s="262"/>
      <c r="KB141" s="262"/>
      <c r="KC141" s="262"/>
      <c r="KD141" s="262"/>
      <c r="KE141" s="262"/>
      <c r="KF141" s="262"/>
      <c r="KG141" s="262"/>
      <c r="KH141" s="262"/>
      <c r="KI141" s="262"/>
      <c r="KJ141" s="262"/>
      <c r="KK141" s="262"/>
      <c r="KL141" s="262"/>
      <c r="KM141" s="262"/>
      <c r="KN141" s="262"/>
      <c r="KO141" s="262"/>
      <c r="KP141" s="262"/>
      <c r="KQ141" s="262"/>
      <c r="KR141" s="262"/>
      <c r="KS141" s="262"/>
      <c r="KT141" s="262"/>
      <c r="KU141" s="262"/>
      <c r="KV141" s="262"/>
      <c r="KW141" s="262"/>
      <c r="KX141" s="262"/>
      <c r="KY141" s="262"/>
      <c r="KZ141" s="262"/>
    </row>
    <row r="142" spans="1:312" s="85" customFormat="1" ht="50" customHeight="1">
      <c r="A142" s="263" t="s">
        <v>152</v>
      </c>
      <c r="B142" s="264"/>
      <c r="C142" s="86"/>
      <c r="D142" s="86"/>
      <c r="E142" s="60">
        <v>1599</v>
      </c>
      <c r="F142" s="86" t="e">
        <f t="shared" si="4"/>
        <v>#DIV/0!</v>
      </c>
      <c r="G142" s="87">
        <v>2</v>
      </c>
      <c r="H142" s="87">
        <v>5</v>
      </c>
      <c r="I142" s="87"/>
      <c r="J142" s="87" t="s">
        <v>217</v>
      </c>
      <c r="K142" s="89" t="s">
        <v>398</v>
      </c>
      <c r="L142" s="90" t="s">
        <v>689</v>
      </c>
      <c r="M142" s="94"/>
      <c r="N142" s="91" t="s">
        <v>335</v>
      </c>
      <c r="O142" s="91" t="s">
        <v>335</v>
      </c>
      <c r="P142" s="92"/>
      <c r="Q142" s="93" t="s">
        <v>689</v>
      </c>
      <c r="R142" s="95"/>
      <c r="S142" s="60">
        <v>1599</v>
      </c>
      <c r="T142" s="263">
        <f t="shared" si="5"/>
        <v>3198</v>
      </c>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262"/>
      <c r="BT142" s="262"/>
      <c r="BU142" s="262"/>
      <c r="BV142" s="262"/>
      <c r="BW142" s="262"/>
      <c r="BX142" s="262"/>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2"/>
      <c r="CV142" s="262"/>
      <c r="CW142" s="262"/>
      <c r="CX142" s="262"/>
      <c r="CY142" s="262"/>
      <c r="CZ142" s="262"/>
      <c r="DA142" s="262"/>
      <c r="DB142" s="262"/>
      <c r="DC142" s="262"/>
      <c r="DD142" s="262"/>
      <c r="DE142" s="262"/>
      <c r="DF142" s="262"/>
      <c r="DG142" s="262"/>
      <c r="DH142" s="262"/>
      <c r="DI142" s="262"/>
      <c r="DJ142" s="262"/>
      <c r="DK142" s="262"/>
      <c r="DL142" s="262"/>
      <c r="DM142" s="262"/>
      <c r="DN142" s="262"/>
      <c r="DO142" s="262"/>
      <c r="DP142" s="262"/>
      <c r="DQ142" s="262"/>
      <c r="DR142" s="262"/>
      <c r="DS142" s="262"/>
      <c r="DT142" s="262"/>
      <c r="DU142" s="262"/>
      <c r="DV142" s="262"/>
      <c r="DW142" s="262"/>
      <c r="DX142" s="262"/>
      <c r="DY142" s="262"/>
      <c r="DZ142" s="262"/>
      <c r="EA142" s="262"/>
      <c r="EB142" s="262"/>
      <c r="EC142" s="262"/>
      <c r="ED142" s="262"/>
      <c r="EE142" s="262"/>
      <c r="EF142" s="262"/>
      <c r="EG142" s="262"/>
      <c r="EH142" s="262"/>
      <c r="EI142" s="262"/>
      <c r="EJ142" s="262"/>
      <c r="EK142" s="262"/>
      <c r="EL142" s="262"/>
      <c r="EM142" s="262"/>
      <c r="EN142" s="262"/>
      <c r="EO142" s="262"/>
      <c r="EP142" s="262"/>
      <c r="EQ142" s="262"/>
      <c r="ER142" s="262"/>
      <c r="ES142" s="262"/>
      <c r="ET142" s="262"/>
      <c r="EU142" s="262"/>
      <c r="EV142" s="262"/>
      <c r="EW142" s="262"/>
      <c r="EX142" s="262"/>
      <c r="EY142" s="262"/>
      <c r="EZ142" s="262"/>
      <c r="FA142" s="262"/>
      <c r="FB142" s="262"/>
      <c r="FC142" s="262"/>
      <c r="FD142" s="262"/>
      <c r="FE142" s="262"/>
      <c r="FF142" s="262"/>
      <c r="FG142" s="262"/>
      <c r="FH142" s="262"/>
      <c r="FI142" s="262"/>
      <c r="FJ142" s="262"/>
      <c r="FK142" s="262"/>
      <c r="FL142" s="262"/>
      <c r="FM142" s="262"/>
      <c r="FN142" s="262"/>
      <c r="FO142" s="262"/>
      <c r="FP142" s="262"/>
      <c r="FQ142" s="262"/>
      <c r="FR142" s="262"/>
      <c r="FS142" s="262"/>
      <c r="FT142" s="262"/>
      <c r="FU142" s="262"/>
      <c r="FV142" s="262"/>
      <c r="FW142" s="262"/>
      <c r="FX142" s="262"/>
      <c r="FY142" s="262"/>
      <c r="FZ142" s="262"/>
      <c r="GA142" s="262"/>
      <c r="GB142" s="262"/>
      <c r="GC142" s="262"/>
      <c r="GD142" s="262"/>
      <c r="GE142" s="262"/>
      <c r="GF142" s="262"/>
      <c r="GG142" s="262"/>
      <c r="GH142" s="262"/>
      <c r="GI142" s="262"/>
      <c r="GJ142" s="262"/>
      <c r="GK142" s="262"/>
      <c r="GL142" s="262"/>
      <c r="GM142" s="262"/>
      <c r="GN142" s="262"/>
      <c r="GO142" s="262"/>
      <c r="GP142" s="262"/>
      <c r="GQ142" s="262"/>
      <c r="GR142" s="262"/>
      <c r="GS142" s="262"/>
      <c r="GT142" s="262"/>
      <c r="GU142" s="262"/>
      <c r="GV142" s="262"/>
      <c r="GW142" s="262"/>
      <c r="GX142" s="262"/>
      <c r="GY142" s="262"/>
      <c r="GZ142" s="262"/>
      <c r="HA142" s="262"/>
      <c r="HB142" s="262"/>
      <c r="HC142" s="262"/>
      <c r="HD142" s="262"/>
      <c r="HE142" s="262"/>
      <c r="HF142" s="262"/>
      <c r="HG142" s="262"/>
      <c r="HH142" s="262"/>
      <c r="HI142" s="262"/>
      <c r="HJ142" s="262"/>
      <c r="HK142" s="262"/>
      <c r="HL142" s="262"/>
      <c r="HM142" s="262"/>
      <c r="HN142" s="262"/>
      <c r="HO142" s="262"/>
      <c r="HP142" s="262"/>
      <c r="HQ142" s="262"/>
      <c r="HR142" s="262"/>
      <c r="HS142" s="262"/>
      <c r="HT142" s="262"/>
      <c r="HU142" s="262"/>
      <c r="HV142" s="262"/>
      <c r="HW142" s="262"/>
      <c r="HX142" s="262"/>
      <c r="HY142" s="262"/>
      <c r="HZ142" s="262"/>
      <c r="IA142" s="262"/>
      <c r="IB142" s="262"/>
      <c r="IC142" s="262"/>
      <c r="ID142" s="262"/>
      <c r="IE142" s="262"/>
      <c r="IF142" s="262"/>
      <c r="IG142" s="262"/>
      <c r="IH142" s="262"/>
      <c r="II142" s="262"/>
      <c r="IJ142" s="262"/>
      <c r="IK142" s="262"/>
      <c r="IL142" s="262"/>
      <c r="IM142" s="262"/>
      <c r="IN142" s="262"/>
      <c r="IO142" s="262"/>
      <c r="IP142" s="262"/>
      <c r="IQ142" s="262"/>
      <c r="IR142" s="262"/>
      <c r="IS142" s="262"/>
      <c r="IT142" s="262"/>
      <c r="IU142" s="262"/>
      <c r="IV142" s="262"/>
      <c r="IW142" s="262"/>
      <c r="IX142" s="262"/>
      <c r="IY142" s="262"/>
      <c r="IZ142" s="262"/>
      <c r="JA142" s="262"/>
      <c r="JB142" s="262"/>
      <c r="JC142" s="262"/>
      <c r="JD142" s="262"/>
      <c r="JE142" s="262"/>
      <c r="JF142" s="262"/>
      <c r="JG142" s="262"/>
      <c r="JH142" s="262"/>
      <c r="JI142" s="262"/>
      <c r="JJ142" s="262"/>
      <c r="JK142" s="262"/>
      <c r="JL142" s="262"/>
      <c r="JM142" s="262"/>
      <c r="JN142" s="262"/>
      <c r="JO142" s="262"/>
      <c r="JP142" s="262"/>
      <c r="JQ142" s="262"/>
      <c r="JR142" s="262"/>
      <c r="JS142" s="262"/>
      <c r="JT142" s="262"/>
      <c r="JU142" s="262"/>
      <c r="JV142" s="262"/>
      <c r="JW142" s="262"/>
      <c r="JX142" s="262"/>
      <c r="JY142" s="262"/>
      <c r="JZ142" s="262"/>
      <c r="KA142" s="262"/>
      <c r="KB142" s="262"/>
      <c r="KC142" s="262"/>
      <c r="KD142" s="262"/>
      <c r="KE142" s="262"/>
      <c r="KF142" s="262"/>
      <c r="KG142" s="262"/>
      <c r="KH142" s="262"/>
      <c r="KI142" s="262"/>
      <c r="KJ142" s="262"/>
      <c r="KK142" s="262"/>
      <c r="KL142" s="262"/>
      <c r="KM142" s="262"/>
      <c r="KN142" s="262"/>
      <c r="KO142" s="262"/>
      <c r="KP142" s="262"/>
      <c r="KQ142" s="262"/>
      <c r="KR142" s="262"/>
      <c r="KS142" s="262"/>
      <c r="KT142" s="262"/>
      <c r="KU142" s="262"/>
      <c r="KV142" s="262"/>
      <c r="KW142" s="262"/>
      <c r="KX142" s="262"/>
      <c r="KY142" s="262"/>
      <c r="KZ142" s="262"/>
    </row>
    <row r="143" spans="1:312" s="85" customFormat="1" ht="50" customHeight="1">
      <c r="A143" s="263" t="s">
        <v>153</v>
      </c>
      <c r="B143" s="264"/>
      <c r="C143" s="86"/>
      <c r="D143" s="86"/>
      <c r="E143" s="60">
        <v>1599</v>
      </c>
      <c r="F143" s="86" t="e">
        <f t="shared" si="4"/>
        <v>#DIV/0!</v>
      </c>
      <c r="G143" s="87">
        <v>2</v>
      </c>
      <c r="H143" s="87">
        <v>5</v>
      </c>
      <c r="I143" s="87"/>
      <c r="J143" s="87" t="s">
        <v>217</v>
      </c>
      <c r="K143" s="89" t="s">
        <v>400</v>
      </c>
      <c r="L143" s="90" t="s">
        <v>689</v>
      </c>
      <c r="M143" s="94"/>
      <c r="N143" s="91" t="s">
        <v>335</v>
      </c>
      <c r="O143" s="91" t="s">
        <v>335</v>
      </c>
      <c r="P143" s="92"/>
      <c r="Q143" s="93" t="s">
        <v>689</v>
      </c>
      <c r="R143" s="95"/>
      <c r="S143" s="60">
        <v>1599</v>
      </c>
      <c r="T143" s="263">
        <f t="shared" si="5"/>
        <v>3198</v>
      </c>
      <c r="U143" s="262"/>
      <c r="V143" s="262"/>
      <c r="W143" s="262"/>
      <c r="X143" s="262"/>
      <c r="Y143" s="262"/>
      <c r="Z143" s="262"/>
      <c r="AA143" s="262"/>
      <c r="AB143" s="262"/>
      <c r="AC143" s="262"/>
      <c r="AD143" s="262"/>
      <c r="AE143" s="262"/>
      <c r="AF143" s="262"/>
      <c r="AG143" s="262"/>
      <c r="AH143" s="262"/>
      <c r="AI143" s="262"/>
      <c r="AJ143" s="262"/>
      <c r="AK143" s="262"/>
      <c r="AL143" s="262"/>
      <c r="AM143" s="262"/>
      <c r="AN143" s="262"/>
      <c r="AO143" s="262"/>
      <c r="AP143" s="262"/>
      <c r="AQ143" s="262"/>
      <c r="AR143" s="262"/>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262"/>
      <c r="BT143" s="262"/>
      <c r="BU143" s="262"/>
      <c r="BV143" s="262"/>
      <c r="BW143" s="262"/>
      <c r="BX143" s="262"/>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2"/>
      <c r="CV143" s="262"/>
      <c r="CW143" s="262"/>
      <c r="CX143" s="262"/>
      <c r="CY143" s="262"/>
      <c r="CZ143" s="262"/>
      <c r="DA143" s="262"/>
      <c r="DB143" s="262"/>
      <c r="DC143" s="262"/>
      <c r="DD143" s="262"/>
      <c r="DE143" s="262"/>
      <c r="DF143" s="262"/>
      <c r="DG143" s="262"/>
      <c r="DH143" s="262"/>
      <c r="DI143" s="262"/>
      <c r="DJ143" s="262"/>
      <c r="DK143" s="262"/>
      <c r="DL143" s="262"/>
      <c r="DM143" s="262"/>
      <c r="DN143" s="262"/>
      <c r="DO143" s="262"/>
      <c r="DP143" s="262"/>
      <c r="DQ143" s="262"/>
      <c r="DR143" s="262"/>
      <c r="DS143" s="262"/>
      <c r="DT143" s="262"/>
      <c r="DU143" s="262"/>
      <c r="DV143" s="262"/>
      <c r="DW143" s="262"/>
      <c r="DX143" s="262"/>
      <c r="DY143" s="262"/>
      <c r="DZ143" s="262"/>
      <c r="EA143" s="262"/>
      <c r="EB143" s="262"/>
      <c r="EC143" s="262"/>
      <c r="ED143" s="262"/>
      <c r="EE143" s="262"/>
      <c r="EF143" s="262"/>
      <c r="EG143" s="262"/>
      <c r="EH143" s="262"/>
      <c r="EI143" s="262"/>
      <c r="EJ143" s="262"/>
      <c r="EK143" s="262"/>
      <c r="EL143" s="262"/>
      <c r="EM143" s="262"/>
      <c r="EN143" s="262"/>
      <c r="EO143" s="262"/>
      <c r="EP143" s="262"/>
      <c r="EQ143" s="262"/>
      <c r="ER143" s="262"/>
      <c r="ES143" s="262"/>
      <c r="ET143" s="262"/>
      <c r="EU143" s="262"/>
      <c r="EV143" s="262"/>
      <c r="EW143" s="262"/>
      <c r="EX143" s="262"/>
      <c r="EY143" s="262"/>
      <c r="EZ143" s="262"/>
      <c r="FA143" s="262"/>
      <c r="FB143" s="262"/>
      <c r="FC143" s="262"/>
      <c r="FD143" s="262"/>
      <c r="FE143" s="262"/>
      <c r="FF143" s="262"/>
      <c r="FG143" s="262"/>
      <c r="FH143" s="262"/>
      <c r="FI143" s="262"/>
      <c r="FJ143" s="262"/>
      <c r="FK143" s="262"/>
      <c r="FL143" s="262"/>
      <c r="FM143" s="262"/>
      <c r="FN143" s="262"/>
      <c r="FO143" s="262"/>
      <c r="FP143" s="262"/>
      <c r="FQ143" s="262"/>
      <c r="FR143" s="262"/>
      <c r="FS143" s="262"/>
      <c r="FT143" s="262"/>
      <c r="FU143" s="262"/>
      <c r="FV143" s="262"/>
      <c r="FW143" s="262"/>
      <c r="FX143" s="262"/>
      <c r="FY143" s="262"/>
      <c r="FZ143" s="262"/>
      <c r="GA143" s="262"/>
      <c r="GB143" s="262"/>
      <c r="GC143" s="262"/>
      <c r="GD143" s="262"/>
      <c r="GE143" s="262"/>
      <c r="GF143" s="262"/>
      <c r="GG143" s="262"/>
      <c r="GH143" s="262"/>
      <c r="GI143" s="262"/>
      <c r="GJ143" s="262"/>
      <c r="GK143" s="262"/>
      <c r="GL143" s="262"/>
      <c r="GM143" s="262"/>
      <c r="GN143" s="262"/>
      <c r="GO143" s="262"/>
      <c r="GP143" s="262"/>
      <c r="GQ143" s="262"/>
      <c r="GR143" s="262"/>
      <c r="GS143" s="262"/>
      <c r="GT143" s="262"/>
      <c r="GU143" s="262"/>
      <c r="GV143" s="262"/>
      <c r="GW143" s="262"/>
      <c r="GX143" s="262"/>
      <c r="GY143" s="262"/>
      <c r="GZ143" s="262"/>
      <c r="HA143" s="262"/>
      <c r="HB143" s="262"/>
      <c r="HC143" s="262"/>
      <c r="HD143" s="262"/>
      <c r="HE143" s="262"/>
      <c r="HF143" s="262"/>
      <c r="HG143" s="262"/>
      <c r="HH143" s="262"/>
      <c r="HI143" s="262"/>
      <c r="HJ143" s="262"/>
      <c r="HK143" s="262"/>
      <c r="HL143" s="262"/>
      <c r="HM143" s="262"/>
      <c r="HN143" s="262"/>
      <c r="HO143" s="262"/>
      <c r="HP143" s="262"/>
      <c r="HQ143" s="262"/>
      <c r="HR143" s="262"/>
      <c r="HS143" s="262"/>
      <c r="HT143" s="262"/>
      <c r="HU143" s="262"/>
      <c r="HV143" s="262"/>
      <c r="HW143" s="262"/>
      <c r="HX143" s="262"/>
      <c r="HY143" s="262"/>
      <c r="HZ143" s="262"/>
      <c r="IA143" s="262"/>
      <c r="IB143" s="262"/>
      <c r="IC143" s="262"/>
      <c r="ID143" s="262"/>
      <c r="IE143" s="262"/>
      <c r="IF143" s="262"/>
      <c r="IG143" s="262"/>
      <c r="IH143" s="262"/>
      <c r="II143" s="262"/>
      <c r="IJ143" s="262"/>
      <c r="IK143" s="262"/>
      <c r="IL143" s="262"/>
      <c r="IM143" s="262"/>
      <c r="IN143" s="262"/>
      <c r="IO143" s="262"/>
      <c r="IP143" s="262"/>
      <c r="IQ143" s="262"/>
      <c r="IR143" s="262"/>
      <c r="IS143" s="262"/>
      <c r="IT143" s="262"/>
      <c r="IU143" s="262"/>
      <c r="IV143" s="262"/>
      <c r="IW143" s="262"/>
      <c r="IX143" s="262"/>
      <c r="IY143" s="262"/>
      <c r="IZ143" s="262"/>
      <c r="JA143" s="262"/>
      <c r="JB143" s="262"/>
      <c r="JC143" s="262"/>
      <c r="JD143" s="262"/>
      <c r="JE143" s="262"/>
      <c r="JF143" s="262"/>
      <c r="JG143" s="262"/>
      <c r="JH143" s="262"/>
      <c r="JI143" s="262"/>
      <c r="JJ143" s="262"/>
      <c r="JK143" s="262"/>
      <c r="JL143" s="262"/>
      <c r="JM143" s="262"/>
      <c r="JN143" s="262"/>
      <c r="JO143" s="262"/>
      <c r="JP143" s="262"/>
      <c r="JQ143" s="262"/>
      <c r="JR143" s="262"/>
      <c r="JS143" s="262"/>
      <c r="JT143" s="262"/>
      <c r="JU143" s="262"/>
      <c r="JV143" s="262"/>
      <c r="JW143" s="262"/>
      <c r="JX143" s="262"/>
      <c r="JY143" s="262"/>
      <c r="JZ143" s="262"/>
      <c r="KA143" s="262"/>
      <c r="KB143" s="262"/>
      <c r="KC143" s="262"/>
      <c r="KD143" s="262"/>
      <c r="KE143" s="262"/>
      <c r="KF143" s="262"/>
      <c r="KG143" s="262"/>
      <c r="KH143" s="262"/>
      <c r="KI143" s="262"/>
      <c r="KJ143" s="262"/>
      <c r="KK143" s="262"/>
      <c r="KL143" s="262"/>
      <c r="KM143" s="262"/>
      <c r="KN143" s="262"/>
      <c r="KO143" s="262"/>
      <c r="KP143" s="262"/>
      <c r="KQ143" s="262"/>
      <c r="KR143" s="262"/>
      <c r="KS143" s="262"/>
      <c r="KT143" s="262"/>
      <c r="KU143" s="262"/>
      <c r="KV143" s="262"/>
      <c r="KW143" s="262"/>
      <c r="KX143" s="262"/>
      <c r="KY143" s="262"/>
      <c r="KZ143" s="262"/>
    </row>
    <row r="144" spans="1:312" s="85" customFormat="1" ht="50" customHeight="1">
      <c r="A144" s="263" t="s">
        <v>155</v>
      </c>
      <c r="B144" s="264"/>
      <c r="C144" s="86"/>
      <c r="D144" s="86"/>
      <c r="E144" s="60">
        <v>1599</v>
      </c>
      <c r="F144" s="86" t="e">
        <f t="shared" si="4"/>
        <v>#DIV/0!</v>
      </c>
      <c r="G144" s="87">
        <v>2</v>
      </c>
      <c r="H144" s="87">
        <v>5</v>
      </c>
      <c r="I144" s="87"/>
      <c r="J144" s="87" t="s">
        <v>217</v>
      </c>
      <c r="K144" s="89" t="s">
        <v>405</v>
      </c>
      <c r="L144" s="90" t="s">
        <v>689</v>
      </c>
      <c r="M144" s="94"/>
      <c r="N144" s="91" t="s">
        <v>335</v>
      </c>
      <c r="O144" s="91" t="s">
        <v>335</v>
      </c>
      <c r="P144" s="92"/>
      <c r="Q144" s="93" t="s">
        <v>689</v>
      </c>
      <c r="R144" s="95"/>
      <c r="S144" s="60">
        <v>1599</v>
      </c>
      <c r="T144" s="263">
        <f t="shared" si="5"/>
        <v>3198</v>
      </c>
      <c r="U144" s="262"/>
      <c r="V144" s="262"/>
      <c r="W144" s="262"/>
      <c r="X144" s="262"/>
      <c r="Y144" s="262"/>
      <c r="Z144" s="262"/>
      <c r="AA144" s="262"/>
      <c r="AB144" s="262"/>
      <c r="AC144" s="262"/>
      <c r="AD144" s="262"/>
      <c r="AE144" s="262"/>
      <c r="AF144" s="262"/>
      <c r="AG144" s="262"/>
      <c r="AH144" s="262"/>
      <c r="AI144" s="262"/>
      <c r="AJ144" s="262"/>
      <c r="AK144" s="262"/>
      <c r="AL144" s="262"/>
      <c r="AM144" s="262"/>
      <c r="AN144" s="262"/>
      <c r="AO144" s="262"/>
      <c r="AP144" s="262"/>
      <c r="AQ144" s="262"/>
      <c r="AR144" s="262"/>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262"/>
      <c r="BT144" s="262"/>
      <c r="BU144" s="262"/>
      <c r="BV144" s="262"/>
      <c r="BW144" s="262"/>
      <c r="BX144" s="262"/>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2"/>
      <c r="CV144" s="262"/>
      <c r="CW144" s="262"/>
      <c r="CX144" s="262"/>
      <c r="CY144" s="262"/>
      <c r="CZ144" s="262"/>
      <c r="DA144" s="262"/>
      <c r="DB144" s="262"/>
      <c r="DC144" s="262"/>
      <c r="DD144" s="262"/>
      <c r="DE144" s="262"/>
      <c r="DF144" s="262"/>
      <c r="DG144" s="262"/>
      <c r="DH144" s="262"/>
      <c r="DI144" s="262"/>
      <c r="DJ144" s="262"/>
      <c r="DK144" s="262"/>
      <c r="DL144" s="262"/>
      <c r="DM144" s="262"/>
      <c r="DN144" s="262"/>
      <c r="DO144" s="262"/>
      <c r="DP144" s="262"/>
      <c r="DQ144" s="262"/>
      <c r="DR144" s="262"/>
      <c r="DS144" s="262"/>
      <c r="DT144" s="262"/>
      <c r="DU144" s="262"/>
      <c r="DV144" s="262"/>
      <c r="DW144" s="262"/>
      <c r="DX144" s="262"/>
      <c r="DY144" s="262"/>
      <c r="DZ144" s="262"/>
      <c r="EA144" s="262"/>
      <c r="EB144" s="262"/>
      <c r="EC144" s="262"/>
      <c r="ED144" s="262"/>
      <c r="EE144" s="262"/>
      <c r="EF144" s="262"/>
      <c r="EG144" s="262"/>
      <c r="EH144" s="262"/>
      <c r="EI144" s="262"/>
      <c r="EJ144" s="262"/>
      <c r="EK144" s="262"/>
      <c r="EL144" s="262"/>
      <c r="EM144" s="262"/>
      <c r="EN144" s="262"/>
      <c r="EO144" s="262"/>
      <c r="EP144" s="262"/>
      <c r="EQ144" s="262"/>
      <c r="ER144" s="262"/>
      <c r="ES144" s="262"/>
      <c r="ET144" s="262"/>
      <c r="EU144" s="262"/>
      <c r="EV144" s="262"/>
      <c r="EW144" s="262"/>
      <c r="EX144" s="262"/>
      <c r="EY144" s="262"/>
      <c r="EZ144" s="262"/>
      <c r="FA144" s="262"/>
      <c r="FB144" s="262"/>
      <c r="FC144" s="262"/>
      <c r="FD144" s="262"/>
      <c r="FE144" s="262"/>
      <c r="FF144" s="262"/>
      <c r="FG144" s="262"/>
      <c r="FH144" s="262"/>
      <c r="FI144" s="262"/>
      <c r="FJ144" s="262"/>
      <c r="FK144" s="262"/>
      <c r="FL144" s="262"/>
      <c r="FM144" s="262"/>
      <c r="FN144" s="262"/>
      <c r="FO144" s="262"/>
      <c r="FP144" s="262"/>
      <c r="FQ144" s="262"/>
      <c r="FR144" s="262"/>
      <c r="FS144" s="262"/>
      <c r="FT144" s="262"/>
      <c r="FU144" s="262"/>
      <c r="FV144" s="262"/>
      <c r="FW144" s="262"/>
      <c r="FX144" s="262"/>
      <c r="FY144" s="262"/>
      <c r="FZ144" s="262"/>
      <c r="GA144" s="262"/>
      <c r="GB144" s="262"/>
      <c r="GC144" s="262"/>
      <c r="GD144" s="262"/>
      <c r="GE144" s="262"/>
      <c r="GF144" s="262"/>
      <c r="GG144" s="262"/>
      <c r="GH144" s="262"/>
      <c r="GI144" s="262"/>
      <c r="GJ144" s="262"/>
      <c r="GK144" s="262"/>
      <c r="GL144" s="262"/>
      <c r="GM144" s="262"/>
      <c r="GN144" s="262"/>
      <c r="GO144" s="262"/>
      <c r="GP144" s="262"/>
      <c r="GQ144" s="262"/>
      <c r="GR144" s="262"/>
      <c r="GS144" s="262"/>
      <c r="GT144" s="262"/>
      <c r="GU144" s="262"/>
      <c r="GV144" s="262"/>
      <c r="GW144" s="262"/>
      <c r="GX144" s="262"/>
      <c r="GY144" s="262"/>
      <c r="GZ144" s="262"/>
      <c r="HA144" s="262"/>
      <c r="HB144" s="262"/>
      <c r="HC144" s="262"/>
      <c r="HD144" s="262"/>
      <c r="HE144" s="262"/>
      <c r="HF144" s="262"/>
      <c r="HG144" s="262"/>
      <c r="HH144" s="262"/>
      <c r="HI144" s="262"/>
      <c r="HJ144" s="262"/>
      <c r="HK144" s="262"/>
      <c r="HL144" s="262"/>
      <c r="HM144" s="262"/>
      <c r="HN144" s="262"/>
      <c r="HO144" s="262"/>
      <c r="HP144" s="262"/>
      <c r="HQ144" s="262"/>
      <c r="HR144" s="262"/>
      <c r="HS144" s="262"/>
      <c r="HT144" s="262"/>
      <c r="HU144" s="262"/>
      <c r="HV144" s="262"/>
      <c r="HW144" s="262"/>
      <c r="HX144" s="262"/>
      <c r="HY144" s="262"/>
      <c r="HZ144" s="262"/>
      <c r="IA144" s="262"/>
      <c r="IB144" s="262"/>
      <c r="IC144" s="262"/>
      <c r="ID144" s="262"/>
      <c r="IE144" s="262"/>
      <c r="IF144" s="262"/>
      <c r="IG144" s="262"/>
      <c r="IH144" s="262"/>
      <c r="II144" s="262"/>
      <c r="IJ144" s="262"/>
      <c r="IK144" s="262"/>
      <c r="IL144" s="262"/>
      <c r="IM144" s="262"/>
      <c r="IN144" s="262"/>
      <c r="IO144" s="262"/>
      <c r="IP144" s="262"/>
      <c r="IQ144" s="262"/>
      <c r="IR144" s="262"/>
      <c r="IS144" s="262"/>
      <c r="IT144" s="262"/>
      <c r="IU144" s="262"/>
      <c r="IV144" s="262"/>
      <c r="IW144" s="262"/>
      <c r="IX144" s="262"/>
      <c r="IY144" s="262"/>
      <c r="IZ144" s="262"/>
      <c r="JA144" s="262"/>
      <c r="JB144" s="262"/>
      <c r="JC144" s="262"/>
      <c r="JD144" s="262"/>
      <c r="JE144" s="262"/>
      <c r="JF144" s="262"/>
      <c r="JG144" s="262"/>
      <c r="JH144" s="262"/>
      <c r="JI144" s="262"/>
      <c r="JJ144" s="262"/>
      <c r="JK144" s="262"/>
      <c r="JL144" s="262"/>
      <c r="JM144" s="262"/>
      <c r="JN144" s="262"/>
      <c r="JO144" s="262"/>
      <c r="JP144" s="262"/>
      <c r="JQ144" s="262"/>
      <c r="JR144" s="262"/>
      <c r="JS144" s="262"/>
      <c r="JT144" s="262"/>
      <c r="JU144" s="262"/>
      <c r="JV144" s="262"/>
      <c r="JW144" s="262"/>
      <c r="JX144" s="262"/>
      <c r="JY144" s="262"/>
      <c r="JZ144" s="262"/>
      <c r="KA144" s="262"/>
      <c r="KB144" s="262"/>
      <c r="KC144" s="262"/>
      <c r="KD144" s="262"/>
      <c r="KE144" s="262"/>
      <c r="KF144" s="262"/>
      <c r="KG144" s="262"/>
      <c r="KH144" s="262"/>
      <c r="KI144" s="262"/>
      <c r="KJ144" s="262"/>
      <c r="KK144" s="262"/>
      <c r="KL144" s="262"/>
      <c r="KM144" s="262"/>
      <c r="KN144" s="262"/>
      <c r="KO144" s="262"/>
      <c r="KP144" s="262"/>
      <c r="KQ144" s="262"/>
      <c r="KR144" s="262"/>
      <c r="KS144" s="262"/>
      <c r="KT144" s="262"/>
      <c r="KU144" s="262"/>
      <c r="KV144" s="262"/>
      <c r="KW144" s="262"/>
      <c r="KX144" s="262"/>
      <c r="KY144" s="262"/>
      <c r="KZ144" s="262"/>
    </row>
    <row r="145" spans="1:312" s="85" customFormat="1" ht="50" customHeight="1">
      <c r="A145" s="263" t="s">
        <v>118</v>
      </c>
      <c r="B145" s="264"/>
      <c r="C145" s="86"/>
      <c r="D145" s="86"/>
      <c r="E145" s="60">
        <v>184</v>
      </c>
      <c r="F145" s="86" t="e">
        <f t="shared" si="4"/>
        <v>#DIV/0!</v>
      </c>
      <c r="G145" s="87">
        <v>2</v>
      </c>
      <c r="H145" s="87">
        <v>5</v>
      </c>
      <c r="I145" s="87"/>
      <c r="J145" s="87" t="s">
        <v>248</v>
      </c>
      <c r="K145" s="89" t="s">
        <v>303</v>
      </c>
      <c r="L145" s="94"/>
      <c r="M145" s="90" t="s">
        <v>335</v>
      </c>
      <c r="N145" s="91"/>
      <c r="O145" s="91" t="s">
        <v>335</v>
      </c>
      <c r="P145" s="92"/>
      <c r="Q145" s="95" t="s">
        <v>689</v>
      </c>
      <c r="R145" s="95" t="s">
        <v>689</v>
      </c>
      <c r="S145" s="60">
        <v>184</v>
      </c>
      <c r="T145" s="263">
        <f t="shared" si="5"/>
        <v>368</v>
      </c>
      <c r="U145" s="262"/>
      <c r="V145" s="262"/>
      <c r="W145" s="262"/>
      <c r="X145" s="262"/>
      <c r="Y145" s="262"/>
      <c r="Z145" s="262"/>
      <c r="AA145" s="262"/>
      <c r="AB145" s="262"/>
      <c r="AC145" s="262"/>
      <c r="AD145" s="262"/>
      <c r="AE145" s="262"/>
      <c r="AF145" s="262"/>
      <c r="AG145" s="262"/>
      <c r="AH145" s="262"/>
      <c r="AI145" s="262"/>
      <c r="AJ145" s="262"/>
      <c r="AK145" s="262"/>
      <c r="AL145" s="262"/>
      <c r="AM145" s="262"/>
      <c r="AN145" s="262"/>
      <c r="AO145" s="262"/>
      <c r="AP145" s="262"/>
      <c r="AQ145" s="262"/>
      <c r="AR145" s="262"/>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262"/>
      <c r="BT145" s="262"/>
      <c r="BU145" s="262"/>
      <c r="BV145" s="262"/>
      <c r="BW145" s="262"/>
      <c r="BX145" s="262"/>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2"/>
      <c r="CV145" s="262"/>
      <c r="CW145" s="262"/>
      <c r="CX145" s="262"/>
      <c r="CY145" s="262"/>
      <c r="CZ145" s="262"/>
      <c r="DA145" s="262"/>
      <c r="DB145" s="262"/>
      <c r="DC145" s="262"/>
      <c r="DD145" s="262"/>
      <c r="DE145" s="262"/>
      <c r="DF145" s="262"/>
      <c r="DG145" s="262"/>
      <c r="DH145" s="262"/>
      <c r="DI145" s="262"/>
      <c r="DJ145" s="262"/>
      <c r="DK145" s="262"/>
      <c r="DL145" s="262"/>
      <c r="DM145" s="262"/>
      <c r="DN145" s="262"/>
      <c r="DO145" s="262"/>
      <c r="DP145" s="262"/>
      <c r="DQ145" s="262"/>
      <c r="DR145" s="262"/>
      <c r="DS145" s="262"/>
      <c r="DT145" s="262"/>
      <c r="DU145" s="262"/>
      <c r="DV145" s="262"/>
      <c r="DW145" s="262"/>
      <c r="DX145" s="262"/>
      <c r="DY145" s="262"/>
      <c r="DZ145" s="262"/>
      <c r="EA145" s="262"/>
      <c r="EB145" s="262"/>
      <c r="EC145" s="262"/>
      <c r="ED145" s="262"/>
      <c r="EE145" s="262"/>
      <c r="EF145" s="262"/>
      <c r="EG145" s="262"/>
      <c r="EH145" s="262"/>
      <c r="EI145" s="262"/>
      <c r="EJ145" s="262"/>
      <c r="EK145" s="262"/>
      <c r="EL145" s="262"/>
      <c r="EM145" s="262"/>
      <c r="EN145" s="262"/>
      <c r="EO145" s="262"/>
      <c r="EP145" s="262"/>
      <c r="EQ145" s="262"/>
      <c r="ER145" s="262"/>
      <c r="ES145" s="262"/>
      <c r="ET145" s="262"/>
      <c r="EU145" s="262"/>
      <c r="EV145" s="262"/>
      <c r="EW145" s="262"/>
      <c r="EX145" s="262"/>
      <c r="EY145" s="262"/>
      <c r="EZ145" s="262"/>
      <c r="FA145" s="262"/>
      <c r="FB145" s="262"/>
      <c r="FC145" s="262"/>
      <c r="FD145" s="262"/>
      <c r="FE145" s="262"/>
      <c r="FF145" s="262"/>
      <c r="FG145" s="262"/>
      <c r="FH145" s="262"/>
      <c r="FI145" s="262"/>
      <c r="FJ145" s="262"/>
      <c r="FK145" s="262"/>
      <c r="FL145" s="262"/>
      <c r="FM145" s="262"/>
      <c r="FN145" s="262"/>
      <c r="FO145" s="262"/>
      <c r="FP145" s="262"/>
      <c r="FQ145" s="262"/>
      <c r="FR145" s="262"/>
      <c r="FS145" s="262"/>
      <c r="FT145" s="262"/>
      <c r="FU145" s="262"/>
      <c r="FV145" s="262"/>
      <c r="FW145" s="262"/>
      <c r="FX145" s="262"/>
      <c r="FY145" s="262"/>
      <c r="FZ145" s="262"/>
      <c r="GA145" s="262"/>
      <c r="GB145" s="262"/>
      <c r="GC145" s="262"/>
      <c r="GD145" s="262"/>
      <c r="GE145" s="262"/>
      <c r="GF145" s="262"/>
      <c r="GG145" s="262"/>
      <c r="GH145" s="262"/>
      <c r="GI145" s="262"/>
      <c r="GJ145" s="262"/>
      <c r="GK145" s="262"/>
      <c r="GL145" s="262"/>
      <c r="GM145" s="262"/>
      <c r="GN145" s="262"/>
      <c r="GO145" s="262"/>
      <c r="GP145" s="262"/>
      <c r="GQ145" s="262"/>
      <c r="GR145" s="262"/>
      <c r="GS145" s="262"/>
      <c r="GT145" s="262"/>
      <c r="GU145" s="262"/>
      <c r="GV145" s="262"/>
      <c r="GW145" s="262"/>
      <c r="GX145" s="262"/>
      <c r="GY145" s="262"/>
      <c r="GZ145" s="262"/>
      <c r="HA145" s="262"/>
      <c r="HB145" s="262"/>
      <c r="HC145" s="262"/>
      <c r="HD145" s="262"/>
      <c r="HE145" s="262"/>
      <c r="HF145" s="262"/>
      <c r="HG145" s="262"/>
      <c r="HH145" s="262"/>
      <c r="HI145" s="262"/>
      <c r="HJ145" s="262"/>
      <c r="HK145" s="262"/>
      <c r="HL145" s="262"/>
      <c r="HM145" s="262"/>
      <c r="HN145" s="262"/>
      <c r="HO145" s="262"/>
      <c r="HP145" s="262"/>
      <c r="HQ145" s="262"/>
      <c r="HR145" s="262"/>
      <c r="HS145" s="262"/>
      <c r="HT145" s="262"/>
      <c r="HU145" s="262"/>
      <c r="HV145" s="262"/>
      <c r="HW145" s="262"/>
      <c r="HX145" s="262"/>
      <c r="HY145" s="262"/>
      <c r="HZ145" s="262"/>
      <c r="IA145" s="262"/>
      <c r="IB145" s="262"/>
      <c r="IC145" s="262"/>
      <c r="ID145" s="262"/>
      <c r="IE145" s="262"/>
      <c r="IF145" s="262"/>
      <c r="IG145" s="262"/>
      <c r="IH145" s="262"/>
      <c r="II145" s="262"/>
      <c r="IJ145" s="262"/>
      <c r="IK145" s="262"/>
      <c r="IL145" s="262"/>
      <c r="IM145" s="262"/>
      <c r="IN145" s="262"/>
      <c r="IO145" s="262"/>
      <c r="IP145" s="262"/>
      <c r="IQ145" s="262"/>
      <c r="IR145" s="262"/>
      <c r="IS145" s="262"/>
      <c r="IT145" s="262"/>
      <c r="IU145" s="262"/>
      <c r="IV145" s="262"/>
      <c r="IW145" s="262"/>
      <c r="IX145" s="262"/>
      <c r="IY145" s="262"/>
      <c r="IZ145" s="262"/>
      <c r="JA145" s="262"/>
      <c r="JB145" s="262"/>
      <c r="JC145" s="262"/>
      <c r="JD145" s="262"/>
      <c r="JE145" s="262"/>
      <c r="JF145" s="262"/>
      <c r="JG145" s="262"/>
      <c r="JH145" s="262"/>
      <c r="JI145" s="262"/>
      <c r="JJ145" s="262"/>
      <c r="JK145" s="262"/>
      <c r="JL145" s="262"/>
      <c r="JM145" s="262"/>
      <c r="JN145" s="262"/>
      <c r="JO145" s="262"/>
      <c r="JP145" s="262"/>
      <c r="JQ145" s="262"/>
      <c r="JR145" s="262"/>
      <c r="JS145" s="262"/>
      <c r="JT145" s="262"/>
      <c r="JU145" s="262"/>
      <c r="JV145" s="262"/>
      <c r="JW145" s="262"/>
      <c r="JX145" s="262"/>
      <c r="JY145" s="262"/>
      <c r="JZ145" s="262"/>
      <c r="KA145" s="262"/>
      <c r="KB145" s="262"/>
      <c r="KC145" s="262"/>
      <c r="KD145" s="262"/>
      <c r="KE145" s="262"/>
      <c r="KF145" s="262"/>
      <c r="KG145" s="262"/>
      <c r="KH145" s="262"/>
      <c r="KI145" s="262"/>
      <c r="KJ145" s="262"/>
      <c r="KK145" s="262"/>
      <c r="KL145" s="262"/>
      <c r="KM145" s="262"/>
      <c r="KN145" s="262"/>
      <c r="KO145" s="262"/>
      <c r="KP145" s="262"/>
      <c r="KQ145" s="262"/>
      <c r="KR145" s="262"/>
      <c r="KS145" s="262"/>
      <c r="KT145" s="262"/>
      <c r="KU145" s="262"/>
      <c r="KV145" s="262"/>
      <c r="KW145" s="262"/>
      <c r="KX145" s="262"/>
      <c r="KY145" s="262"/>
      <c r="KZ145" s="262"/>
    </row>
    <row r="146" spans="1:312" s="85" customFormat="1" ht="50" customHeight="1">
      <c r="A146" s="263" t="s">
        <v>198</v>
      </c>
      <c r="B146" s="264"/>
      <c r="C146" s="86"/>
      <c r="D146" s="86"/>
      <c r="E146" s="60">
        <v>68</v>
      </c>
      <c r="F146" s="86" t="e">
        <f t="shared" si="4"/>
        <v>#DIV/0!</v>
      </c>
      <c r="G146" s="87">
        <v>2</v>
      </c>
      <c r="H146" s="87">
        <v>5</v>
      </c>
      <c r="I146" s="87"/>
      <c r="J146" s="87" t="s">
        <v>248</v>
      </c>
      <c r="K146" s="89" t="s">
        <v>527</v>
      </c>
      <c r="L146" s="94"/>
      <c r="M146" s="94"/>
      <c r="N146" s="91"/>
      <c r="O146" s="91" t="s">
        <v>335</v>
      </c>
      <c r="P146" s="92"/>
      <c r="Q146" s="95" t="s">
        <v>689</v>
      </c>
      <c r="R146" s="95"/>
      <c r="S146" s="60">
        <v>68</v>
      </c>
      <c r="T146" s="263">
        <f t="shared" si="5"/>
        <v>136</v>
      </c>
      <c r="U146" s="262"/>
      <c r="V146" s="262"/>
      <c r="W146" s="262"/>
      <c r="X146" s="262"/>
      <c r="Y146" s="262"/>
      <c r="Z146" s="262"/>
      <c r="AA146" s="262"/>
      <c r="AB146" s="262"/>
      <c r="AC146" s="262"/>
      <c r="AD146" s="262"/>
      <c r="AE146" s="262"/>
      <c r="AF146" s="262"/>
      <c r="AG146" s="262"/>
      <c r="AH146" s="262"/>
      <c r="AI146" s="262"/>
      <c r="AJ146" s="262"/>
      <c r="AK146" s="262"/>
      <c r="AL146" s="262"/>
      <c r="AM146" s="262"/>
      <c r="AN146" s="262"/>
      <c r="AO146" s="262"/>
      <c r="AP146" s="262"/>
      <c r="AQ146" s="262"/>
      <c r="AR146" s="262"/>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262"/>
      <c r="BT146" s="262"/>
      <c r="BU146" s="262"/>
      <c r="BV146" s="262"/>
      <c r="BW146" s="262"/>
      <c r="BX146" s="262"/>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2"/>
      <c r="CV146" s="262"/>
      <c r="CW146" s="262"/>
      <c r="CX146" s="262"/>
      <c r="CY146" s="262"/>
      <c r="CZ146" s="262"/>
      <c r="DA146" s="262"/>
      <c r="DB146" s="262"/>
      <c r="DC146" s="262"/>
      <c r="DD146" s="262"/>
      <c r="DE146" s="262"/>
      <c r="DF146" s="262"/>
      <c r="DG146" s="262"/>
      <c r="DH146" s="262"/>
      <c r="DI146" s="262"/>
      <c r="DJ146" s="262"/>
      <c r="DK146" s="262"/>
      <c r="DL146" s="262"/>
      <c r="DM146" s="262"/>
      <c r="DN146" s="262"/>
      <c r="DO146" s="262"/>
      <c r="DP146" s="262"/>
      <c r="DQ146" s="262"/>
      <c r="DR146" s="262"/>
      <c r="DS146" s="262"/>
      <c r="DT146" s="262"/>
      <c r="DU146" s="262"/>
      <c r="DV146" s="262"/>
      <c r="DW146" s="262"/>
      <c r="DX146" s="262"/>
      <c r="DY146" s="262"/>
      <c r="DZ146" s="262"/>
      <c r="EA146" s="262"/>
      <c r="EB146" s="262"/>
      <c r="EC146" s="262"/>
      <c r="ED146" s="262"/>
      <c r="EE146" s="262"/>
      <c r="EF146" s="262"/>
      <c r="EG146" s="262"/>
      <c r="EH146" s="262"/>
      <c r="EI146" s="262"/>
      <c r="EJ146" s="262"/>
      <c r="EK146" s="262"/>
      <c r="EL146" s="262"/>
      <c r="EM146" s="262"/>
      <c r="EN146" s="262"/>
      <c r="EO146" s="262"/>
      <c r="EP146" s="262"/>
      <c r="EQ146" s="262"/>
      <c r="ER146" s="262"/>
      <c r="ES146" s="262"/>
      <c r="ET146" s="262"/>
      <c r="EU146" s="262"/>
      <c r="EV146" s="262"/>
      <c r="EW146" s="262"/>
      <c r="EX146" s="262"/>
      <c r="EY146" s="262"/>
      <c r="EZ146" s="262"/>
      <c r="FA146" s="262"/>
      <c r="FB146" s="262"/>
      <c r="FC146" s="262"/>
      <c r="FD146" s="262"/>
      <c r="FE146" s="262"/>
      <c r="FF146" s="262"/>
      <c r="FG146" s="262"/>
      <c r="FH146" s="262"/>
      <c r="FI146" s="262"/>
      <c r="FJ146" s="262"/>
      <c r="FK146" s="262"/>
      <c r="FL146" s="262"/>
      <c r="FM146" s="262"/>
      <c r="FN146" s="262"/>
      <c r="FO146" s="262"/>
      <c r="FP146" s="262"/>
      <c r="FQ146" s="262"/>
      <c r="FR146" s="262"/>
      <c r="FS146" s="262"/>
      <c r="FT146" s="262"/>
      <c r="FU146" s="262"/>
      <c r="FV146" s="262"/>
      <c r="FW146" s="262"/>
      <c r="FX146" s="262"/>
      <c r="FY146" s="262"/>
      <c r="FZ146" s="262"/>
      <c r="GA146" s="262"/>
      <c r="GB146" s="262"/>
      <c r="GC146" s="262"/>
      <c r="GD146" s="262"/>
      <c r="GE146" s="262"/>
      <c r="GF146" s="262"/>
      <c r="GG146" s="262"/>
      <c r="GH146" s="262"/>
      <c r="GI146" s="262"/>
      <c r="GJ146" s="262"/>
      <c r="GK146" s="262"/>
      <c r="GL146" s="262"/>
      <c r="GM146" s="262"/>
      <c r="GN146" s="262"/>
      <c r="GO146" s="262"/>
      <c r="GP146" s="262"/>
      <c r="GQ146" s="262"/>
      <c r="GR146" s="262"/>
      <c r="GS146" s="262"/>
      <c r="GT146" s="262"/>
      <c r="GU146" s="262"/>
      <c r="GV146" s="262"/>
      <c r="GW146" s="262"/>
      <c r="GX146" s="262"/>
      <c r="GY146" s="262"/>
      <c r="GZ146" s="262"/>
      <c r="HA146" s="262"/>
      <c r="HB146" s="262"/>
      <c r="HC146" s="262"/>
      <c r="HD146" s="262"/>
      <c r="HE146" s="262"/>
      <c r="HF146" s="262"/>
      <c r="HG146" s="262"/>
      <c r="HH146" s="262"/>
      <c r="HI146" s="262"/>
      <c r="HJ146" s="262"/>
      <c r="HK146" s="262"/>
      <c r="HL146" s="262"/>
      <c r="HM146" s="262"/>
      <c r="HN146" s="262"/>
      <c r="HO146" s="262"/>
      <c r="HP146" s="262"/>
      <c r="HQ146" s="262"/>
      <c r="HR146" s="262"/>
      <c r="HS146" s="262"/>
      <c r="HT146" s="262"/>
      <c r="HU146" s="262"/>
      <c r="HV146" s="262"/>
      <c r="HW146" s="262"/>
      <c r="HX146" s="262"/>
      <c r="HY146" s="262"/>
      <c r="HZ146" s="262"/>
      <c r="IA146" s="262"/>
      <c r="IB146" s="262"/>
      <c r="IC146" s="262"/>
      <c r="ID146" s="262"/>
      <c r="IE146" s="262"/>
      <c r="IF146" s="262"/>
      <c r="IG146" s="262"/>
      <c r="IH146" s="262"/>
      <c r="II146" s="262"/>
      <c r="IJ146" s="262"/>
      <c r="IK146" s="262"/>
      <c r="IL146" s="262"/>
      <c r="IM146" s="262"/>
      <c r="IN146" s="262"/>
      <c r="IO146" s="262"/>
      <c r="IP146" s="262"/>
      <c r="IQ146" s="262"/>
      <c r="IR146" s="262"/>
      <c r="IS146" s="262"/>
      <c r="IT146" s="262"/>
      <c r="IU146" s="262"/>
      <c r="IV146" s="262"/>
      <c r="IW146" s="262"/>
      <c r="IX146" s="262"/>
      <c r="IY146" s="262"/>
      <c r="IZ146" s="262"/>
      <c r="JA146" s="262"/>
      <c r="JB146" s="262"/>
      <c r="JC146" s="262"/>
      <c r="JD146" s="262"/>
      <c r="JE146" s="262"/>
      <c r="JF146" s="262"/>
      <c r="JG146" s="262"/>
      <c r="JH146" s="262"/>
      <c r="JI146" s="262"/>
      <c r="JJ146" s="262"/>
      <c r="JK146" s="262"/>
      <c r="JL146" s="262"/>
      <c r="JM146" s="262"/>
      <c r="JN146" s="262"/>
      <c r="JO146" s="262"/>
      <c r="JP146" s="262"/>
      <c r="JQ146" s="262"/>
      <c r="JR146" s="262"/>
      <c r="JS146" s="262"/>
      <c r="JT146" s="262"/>
      <c r="JU146" s="262"/>
      <c r="JV146" s="262"/>
      <c r="JW146" s="262"/>
      <c r="JX146" s="262"/>
      <c r="JY146" s="262"/>
      <c r="JZ146" s="262"/>
      <c r="KA146" s="262"/>
      <c r="KB146" s="262"/>
      <c r="KC146" s="262"/>
      <c r="KD146" s="262"/>
      <c r="KE146" s="262"/>
      <c r="KF146" s="262"/>
      <c r="KG146" s="262"/>
      <c r="KH146" s="262"/>
      <c r="KI146" s="262"/>
      <c r="KJ146" s="262"/>
      <c r="KK146" s="262"/>
      <c r="KL146" s="262"/>
      <c r="KM146" s="262"/>
      <c r="KN146" s="262"/>
      <c r="KO146" s="262"/>
      <c r="KP146" s="262"/>
      <c r="KQ146" s="262"/>
      <c r="KR146" s="262"/>
      <c r="KS146" s="262"/>
      <c r="KT146" s="262"/>
      <c r="KU146" s="262"/>
      <c r="KV146" s="262"/>
      <c r="KW146" s="262"/>
      <c r="KX146" s="262"/>
      <c r="KY146" s="262"/>
      <c r="KZ146" s="262"/>
    </row>
    <row r="147" spans="1:312" s="85" customFormat="1" ht="50" customHeight="1">
      <c r="A147" s="263" t="s">
        <v>259</v>
      </c>
      <c r="B147" s="264"/>
      <c r="C147" s="86"/>
      <c r="D147" s="86"/>
      <c r="E147" s="60">
        <v>184</v>
      </c>
      <c r="F147" s="86" t="e">
        <f t="shared" si="4"/>
        <v>#DIV/0!</v>
      </c>
      <c r="G147" s="87">
        <v>2</v>
      </c>
      <c r="H147" s="87">
        <v>5</v>
      </c>
      <c r="I147" s="87"/>
      <c r="J147" s="87" t="s">
        <v>240</v>
      </c>
      <c r="K147" s="89" t="s">
        <v>260</v>
      </c>
      <c r="L147" s="94"/>
      <c r="M147" s="90" t="s">
        <v>335</v>
      </c>
      <c r="N147" s="91"/>
      <c r="O147" s="91" t="s">
        <v>335</v>
      </c>
      <c r="P147" s="92"/>
      <c r="Q147" s="95" t="s">
        <v>689</v>
      </c>
      <c r="R147" s="95" t="s">
        <v>689</v>
      </c>
      <c r="S147" s="60">
        <v>184</v>
      </c>
      <c r="T147" s="263">
        <f t="shared" si="5"/>
        <v>368</v>
      </c>
      <c r="U147" s="262"/>
      <c r="V147" s="262"/>
      <c r="W147" s="262"/>
      <c r="X147" s="262"/>
      <c r="Y147" s="262"/>
      <c r="Z147" s="262"/>
      <c r="AA147" s="262"/>
      <c r="AB147" s="262"/>
      <c r="AC147" s="262"/>
      <c r="AD147" s="262"/>
      <c r="AE147" s="262"/>
      <c r="AF147" s="262"/>
      <c r="AG147" s="262"/>
      <c r="AH147" s="262"/>
      <c r="AI147" s="262"/>
      <c r="AJ147" s="262"/>
      <c r="AK147" s="262"/>
      <c r="AL147" s="262"/>
      <c r="AM147" s="262"/>
      <c r="AN147" s="262"/>
      <c r="AO147" s="262"/>
      <c r="AP147" s="262"/>
      <c r="AQ147" s="262"/>
      <c r="AR147" s="262"/>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262"/>
      <c r="BT147" s="262"/>
      <c r="BU147" s="262"/>
      <c r="BV147" s="262"/>
      <c r="BW147" s="262"/>
      <c r="BX147" s="262"/>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2"/>
      <c r="CV147" s="262"/>
      <c r="CW147" s="262"/>
      <c r="CX147" s="262"/>
      <c r="CY147" s="262"/>
      <c r="CZ147" s="262"/>
      <c r="DA147" s="262"/>
      <c r="DB147" s="262"/>
      <c r="DC147" s="262"/>
      <c r="DD147" s="262"/>
      <c r="DE147" s="262"/>
      <c r="DF147" s="262"/>
      <c r="DG147" s="262"/>
      <c r="DH147" s="262"/>
      <c r="DI147" s="262"/>
      <c r="DJ147" s="262"/>
      <c r="DK147" s="262"/>
      <c r="DL147" s="262"/>
      <c r="DM147" s="262"/>
      <c r="DN147" s="262"/>
      <c r="DO147" s="262"/>
      <c r="DP147" s="262"/>
      <c r="DQ147" s="262"/>
      <c r="DR147" s="262"/>
      <c r="DS147" s="262"/>
      <c r="DT147" s="262"/>
      <c r="DU147" s="262"/>
      <c r="DV147" s="262"/>
      <c r="DW147" s="262"/>
      <c r="DX147" s="262"/>
      <c r="DY147" s="262"/>
      <c r="DZ147" s="262"/>
      <c r="EA147" s="262"/>
      <c r="EB147" s="262"/>
      <c r="EC147" s="262"/>
      <c r="ED147" s="262"/>
      <c r="EE147" s="262"/>
      <c r="EF147" s="262"/>
      <c r="EG147" s="262"/>
      <c r="EH147" s="262"/>
      <c r="EI147" s="262"/>
      <c r="EJ147" s="262"/>
      <c r="EK147" s="262"/>
      <c r="EL147" s="262"/>
      <c r="EM147" s="262"/>
      <c r="EN147" s="262"/>
      <c r="EO147" s="262"/>
      <c r="EP147" s="262"/>
      <c r="EQ147" s="262"/>
      <c r="ER147" s="262"/>
      <c r="ES147" s="262"/>
      <c r="ET147" s="262"/>
      <c r="EU147" s="262"/>
      <c r="EV147" s="262"/>
      <c r="EW147" s="262"/>
      <c r="EX147" s="262"/>
      <c r="EY147" s="262"/>
      <c r="EZ147" s="262"/>
      <c r="FA147" s="262"/>
      <c r="FB147" s="262"/>
      <c r="FC147" s="262"/>
      <c r="FD147" s="262"/>
      <c r="FE147" s="262"/>
      <c r="FF147" s="262"/>
      <c r="FG147" s="262"/>
      <c r="FH147" s="262"/>
      <c r="FI147" s="262"/>
      <c r="FJ147" s="262"/>
      <c r="FK147" s="262"/>
      <c r="FL147" s="262"/>
      <c r="FM147" s="262"/>
      <c r="FN147" s="262"/>
      <c r="FO147" s="262"/>
      <c r="FP147" s="262"/>
      <c r="FQ147" s="262"/>
      <c r="FR147" s="262"/>
      <c r="FS147" s="262"/>
      <c r="FT147" s="262"/>
      <c r="FU147" s="262"/>
      <c r="FV147" s="262"/>
      <c r="FW147" s="262"/>
      <c r="FX147" s="262"/>
      <c r="FY147" s="262"/>
      <c r="FZ147" s="262"/>
      <c r="GA147" s="262"/>
      <c r="GB147" s="262"/>
      <c r="GC147" s="262"/>
      <c r="GD147" s="262"/>
      <c r="GE147" s="262"/>
      <c r="GF147" s="262"/>
      <c r="GG147" s="262"/>
      <c r="GH147" s="262"/>
      <c r="GI147" s="262"/>
      <c r="GJ147" s="262"/>
      <c r="GK147" s="262"/>
      <c r="GL147" s="262"/>
      <c r="GM147" s="262"/>
      <c r="GN147" s="262"/>
      <c r="GO147" s="262"/>
      <c r="GP147" s="262"/>
      <c r="GQ147" s="262"/>
      <c r="GR147" s="262"/>
      <c r="GS147" s="262"/>
      <c r="GT147" s="262"/>
      <c r="GU147" s="262"/>
      <c r="GV147" s="262"/>
      <c r="GW147" s="262"/>
      <c r="GX147" s="262"/>
      <c r="GY147" s="262"/>
      <c r="GZ147" s="262"/>
      <c r="HA147" s="262"/>
      <c r="HB147" s="262"/>
      <c r="HC147" s="262"/>
      <c r="HD147" s="262"/>
      <c r="HE147" s="262"/>
      <c r="HF147" s="262"/>
      <c r="HG147" s="262"/>
      <c r="HH147" s="262"/>
      <c r="HI147" s="262"/>
      <c r="HJ147" s="262"/>
      <c r="HK147" s="262"/>
      <c r="HL147" s="262"/>
      <c r="HM147" s="262"/>
      <c r="HN147" s="262"/>
      <c r="HO147" s="262"/>
      <c r="HP147" s="262"/>
      <c r="HQ147" s="262"/>
      <c r="HR147" s="262"/>
      <c r="HS147" s="262"/>
      <c r="HT147" s="262"/>
      <c r="HU147" s="262"/>
      <c r="HV147" s="262"/>
      <c r="HW147" s="262"/>
      <c r="HX147" s="262"/>
      <c r="HY147" s="262"/>
      <c r="HZ147" s="262"/>
      <c r="IA147" s="262"/>
      <c r="IB147" s="262"/>
      <c r="IC147" s="262"/>
      <c r="ID147" s="262"/>
      <c r="IE147" s="262"/>
      <c r="IF147" s="262"/>
      <c r="IG147" s="262"/>
      <c r="IH147" s="262"/>
      <c r="II147" s="262"/>
      <c r="IJ147" s="262"/>
      <c r="IK147" s="262"/>
      <c r="IL147" s="262"/>
      <c r="IM147" s="262"/>
      <c r="IN147" s="262"/>
      <c r="IO147" s="262"/>
      <c r="IP147" s="262"/>
      <c r="IQ147" s="262"/>
      <c r="IR147" s="262"/>
      <c r="IS147" s="262"/>
      <c r="IT147" s="262"/>
      <c r="IU147" s="262"/>
      <c r="IV147" s="262"/>
      <c r="IW147" s="262"/>
      <c r="IX147" s="262"/>
      <c r="IY147" s="262"/>
      <c r="IZ147" s="262"/>
      <c r="JA147" s="262"/>
      <c r="JB147" s="262"/>
      <c r="JC147" s="262"/>
      <c r="JD147" s="262"/>
      <c r="JE147" s="262"/>
      <c r="JF147" s="262"/>
      <c r="JG147" s="262"/>
      <c r="JH147" s="262"/>
      <c r="JI147" s="262"/>
      <c r="JJ147" s="262"/>
      <c r="JK147" s="262"/>
      <c r="JL147" s="262"/>
      <c r="JM147" s="262"/>
      <c r="JN147" s="262"/>
      <c r="JO147" s="262"/>
      <c r="JP147" s="262"/>
      <c r="JQ147" s="262"/>
      <c r="JR147" s="262"/>
      <c r="JS147" s="262"/>
      <c r="JT147" s="262"/>
      <c r="JU147" s="262"/>
      <c r="JV147" s="262"/>
      <c r="JW147" s="262"/>
      <c r="JX147" s="262"/>
      <c r="JY147" s="262"/>
      <c r="JZ147" s="262"/>
      <c r="KA147" s="262"/>
      <c r="KB147" s="262"/>
      <c r="KC147" s="262"/>
      <c r="KD147" s="262"/>
      <c r="KE147" s="262"/>
      <c r="KF147" s="262"/>
      <c r="KG147" s="262"/>
      <c r="KH147" s="262"/>
      <c r="KI147" s="262"/>
      <c r="KJ147" s="262"/>
      <c r="KK147" s="262"/>
      <c r="KL147" s="262"/>
      <c r="KM147" s="262"/>
      <c r="KN147" s="262"/>
      <c r="KO147" s="262"/>
      <c r="KP147" s="262"/>
      <c r="KQ147" s="262"/>
      <c r="KR147" s="262"/>
      <c r="KS147" s="262"/>
      <c r="KT147" s="262"/>
      <c r="KU147" s="262"/>
      <c r="KV147" s="262"/>
      <c r="KW147" s="262"/>
      <c r="KX147" s="262"/>
      <c r="KY147" s="262"/>
      <c r="KZ147" s="262"/>
    </row>
    <row r="148" spans="1:312" s="85" customFormat="1" ht="50" customHeight="1">
      <c r="A148" s="263" t="s">
        <v>516</v>
      </c>
      <c r="B148" s="264"/>
      <c r="C148" s="86"/>
      <c r="D148" s="86"/>
      <c r="E148" s="60">
        <v>68</v>
      </c>
      <c r="F148" s="86" t="e">
        <f t="shared" si="4"/>
        <v>#DIV/0!</v>
      </c>
      <c r="G148" s="87">
        <v>2</v>
      </c>
      <c r="H148" s="87">
        <v>5</v>
      </c>
      <c r="I148" s="264"/>
      <c r="J148" s="264" t="s">
        <v>240</v>
      </c>
      <c r="K148" s="265" t="s">
        <v>517</v>
      </c>
      <c r="L148" s="98"/>
      <c r="M148" s="98"/>
      <c r="N148" s="99"/>
      <c r="O148" s="99" t="s">
        <v>335</v>
      </c>
      <c r="P148" s="266"/>
      <c r="Q148" s="93" t="s">
        <v>689</v>
      </c>
      <c r="R148" s="93"/>
      <c r="S148" s="60">
        <v>68</v>
      </c>
      <c r="T148" s="263">
        <f t="shared" si="5"/>
        <v>136</v>
      </c>
      <c r="U148" s="262"/>
      <c r="V148" s="262"/>
      <c r="W148" s="262"/>
      <c r="X148" s="262"/>
      <c r="Y148" s="262"/>
      <c r="Z148" s="262"/>
      <c r="AA148" s="262"/>
      <c r="AB148" s="262"/>
      <c r="AC148" s="262"/>
      <c r="AD148" s="262"/>
      <c r="AE148" s="262"/>
      <c r="AF148" s="262"/>
      <c r="AG148" s="262"/>
      <c r="AH148" s="262"/>
      <c r="AI148" s="262"/>
      <c r="AJ148" s="262"/>
      <c r="AK148" s="262"/>
      <c r="AL148" s="262"/>
      <c r="AM148" s="262"/>
      <c r="AN148" s="262"/>
      <c r="AO148" s="262"/>
      <c r="AP148" s="262"/>
      <c r="AQ148" s="262"/>
      <c r="AR148" s="262"/>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262"/>
      <c r="BT148" s="262"/>
      <c r="BU148" s="262"/>
      <c r="BV148" s="262"/>
      <c r="BW148" s="262"/>
      <c r="BX148" s="262"/>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2"/>
      <c r="CV148" s="262"/>
      <c r="CW148" s="262"/>
      <c r="CX148" s="262"/>
      <c r="CY148" s="262"/>
      <c r="CZ148" s="262"/>
      <c r="DA148" s="262"/>
      <c r="DB148" s="262"/>
      <c r="DC148" s="262"/>
      <c r="DD148" s="262"/>
      <c r="DE148" s="262"/>
      <c r="DF148" s="262"/>
      <c r="DG148" s="262"/>
      <c r="DH148" s="262"/>
      <c r="DI148" s="262"/>
      <c r="DJ148" s="262"/>
      <c r="DK148" s="262"/>
      <c r="DL148" s="262"/>
      <c r="DM148" s="262"/>
      <c r="DN148" s="262"/>
      <c r="DO148" s="262"/>
      <c r="DP148" s="262"/>
      <c r="DQ148" s="262"/>
      <c r="DR148" s="262"/>
      <c r="DS148" s="262"/>
      <c r="DT148" s="262"/>
      <c r="DU148" s="262"/>
      <c r="DV148" s="262"/>
      <c r="DW148" s="262"/>
      <c r="DX148" s="262"/>
      <c r="DY148" s="262"/>
      <c r="DZ148" s="262"/>
      <c r="EA148" s="262"/>
      <c r="EB148" s="262"/>
      <c r="EC148" s="262"/>
      <c r="ED148" s="262"/>
      <c r="EE148" s="262"/>
      <c r="EF148" s="262"/>
      <c r="EG148" s="262"/>
      <c r="EH148" s="262"/>
      <c r="EI148" s="262"/>
      <c r="EJ148" s="262"/>
      <c r="EK148" s="262"/>
      <c r="EL148" s="262"/>
      <c r="EM148" s="262"/>
      <c r="EN148" s="262"/>
      <c r="EO148" s="262"/>
      <c r="EP148" s="262"/>
      <c r="EQ148" s="262"/>
      <c r="ER148" s="262"/>
      <c r="ES148" s="262"/>
      <c r="ET148" s="262"/>
      <c r="EU148" s="262"/>
      <c r="EV148" s="262"/>
      <c r="EW148" s="262"/>
      <c r="EX148" s="262"/>
      <c r="EY148" s="262"/>
      <c r="EZ148" s="262"/>
      <c r="FA148" s="262"/>
      <c r="FB148" s="262"/>
      <c r="FC148" s="262"/>
      <c r="FD148" s="262"/>
      <c r="FE148" s="262"/>
      <c r="FF148" s="262"/>
      <c r="FG148" s="262"/>
      <c r="FH148" s="262"/>
      <c r="FI148" s="262"/>
      <c r="FJ148" s="262"/>
      <c r="FK148" s="262"/>
      <c r="FL148" s="262"/>
      <c r="FM148" s="262"/>
      <c r="FN148" s="262"/>
      <c r="FO148" s="262"/>
      <c r="FP148" s="262"/>
      <c r="FQ148" s="262"/>
      <c r="FR148" s="262"/>
      <c r="FS148" s="262"/>
      <c r="FT148" s="262"/>
      <c r="FU148" s="262"/>
      <c r="FV148" s="262"/>
      <c r="FW148" s="262"/>
      <c r="FX148" s="262"/>
      <c r="FY148" s="262"/>
      <c r="FZ148" s="262"/>
      <c r="GA148" s="262"/>
      <c r="GB148" s="262"/>
      <c r="GC148" s="262"/>
      <c r="GD148" s="262"/>
      <c r="GE148" s="262"/>
      <c r="GF148" s="262"/>
      <c r="GG148" s="262"/>
      <c r="GH148" s="262"/>
      <c r="GI148" s="262"/>
      <c r="GJ148" s="262"/>
      <c r="GK148" s="262"/>
      <c r="GL148" s="262"/>
      <c r="GM148" s="262"/>
      <c r="GN148" s="262"/>
      <c r="GO148" s="262"/>
      <c r="GP148" s="262"/>
      <c r="GQ148" s="262"/>
      <c r="GR148" s="262"/>
      <c r="GS148" s="262"/>
      <c r="GT148" s="262"/>
      <c r="GU148" s="262"/>
      <c r="GV148" s="262"/>
      <c r="GW148" s="262"/>
      <c r="GX148" s="262"/>
      <c r="GY148" s="262"/>
      <c r="GZ148" s="262"/>
      <c r="HA148" s="262"/>
      <c r="HB148" s="262"/>
      <c r="HC148" s="262"/>
      <c r="HD148" s="262"/>
      <c r="HE148" s="262"/>
      <c r="HF148" s="262"/>
      <c r="HG148" s="262"/>
      <c r="HH148" s="262"/>
      <c r="HI148" s="262"/>
      <c r="HJ148" s="262"/>
      <c r="HK148" s="262"/>
      <c r="HL148" s="262"/>
      <c r="HM148" s="262"/>
      <c r="HN148" s="262"/>
      <c r="HO148" s="262"/>
      <c r="HP148" s="262"/>
      <c r="HQ148" s="262"/>
      <c r="HR148" s="262"/>
      <c r="HS148" s="262"/>
      <c r="HT148" s="262"/>
      <c r="HU148" s="262"/>
      <c r="HV148" s="262"/>
      <c r="HW148" s="262"/>
      <c r="HX148" s="262"/>
      <c r="HY148" s="262"/>
      <c r="HZ148" s="262"/>
      <c r="IA148" s="262"/>
      <c r="IB148" s="262"/>
      <c r="IC148" s="262"/>
      <c r="ID148" s="262"/>
      <c r="IE148" s="262"/>
      <c r="IF148" s="262"/>
      <c r="IG148" s="262"/>
      <c r="IH148" s="262"/>
      <c r="II148" s="262"/>
      <c r="IJ148" s="262"/>
      <c r="IK148" s="262"/>
      <c r="IL148" s="262"/>
      <c r="IM148" s="262"/>
      <c r="IN148" s="262"/>
      <c r="IO148" s="262"/>
      <c r="IP148" s="262"/>
      <c r="IQ148" s="262"/>
      <c r="IR148" s="262"/>
      <c r="IS148" s="262"/>
      <c r="IT148" s="262"/>
      <c r="IU148" s="262"/>
      <c r="IV148" s="262"/>
      <c r="IW148" s="262"/>
      <c r="IX148" s="262"/>
      <c r="IY148" s="262"/>
      <c r="IZ148" s="262"/>
      <c r="JA148" s="262"/>
      <c r="JB148" s="262"/>
      <c r="JC148" s="262"/>
      <c r="JD148" s="262"/>
      <c r="JE148" s="262"/>
      <c r="JF148" s="262"/>
      <c r="JG148" s="262"/>
      <c r="JH148" s="262"/>
      <c r="JI148" s="262"/>
      <c r="JJ148" s="262"/>
      <c r="JK148" s="262"/>
      <c r="JL148" s="262"/>
      <c r="JM148" s="262"/>
      <c r="JN148" s="262"/>
      <c r="JO148" s="262"/>
      <c r="JP148" s="262"/>
      <c r="JQ148" s="262"/>
      <c r="JR148" s="262"/>
      <c r="JS148" s="262"/>
      <c r="JT148" s="262"/>
      <c r="JU148" s="262"/>
      <c r="JV148" s="262"/>
      <c r="JW148" s="262"/>
      <c r="JX148" s="262"/>
      <c r="JY148" s="262"/>
      <c r="JZ148" s="262"/>
      <c r="KA148" s="262"/>
      <c r="KB148" s="262"/>
      <c r="KC148" s="262"/>
      <c r="KD148" s="262"/>
      <c r="KE148" s="262"/>
      <c r="KF148" s="262"/>
      <c r="KG148" s="262"/>
      <c r="KH148" s="262"/>
      <c r="KI148" s="262"/>
      <c r="KJ148" s="262"/>
      <c r="KK148" s="262"/>
      <c r="KL148" s="262"/>
      <c r="KM148" s="262"/>
      <c r="KN148" s="262"/>
      <c r="KO148" s="262"/>
      <c r="KP148" s="262"/>
      <c r="KQ148" s="262"/>
      <c r="KR148" s="262"/>
      <c r="KS148" s="262"/>
      <c r="KT148" s="262"/>
      <c r="KU148" s="262"/>
      <c r="KV148" s="262"/>
      <c r="KW148" s="262"/>
      <c r="KX148" s="262"/>
      <c r="KY148" s="262"/>
      <c r="KZ148" s="262"/>
    </row>
    <row r="149" spans="1:312" s="96" customFormat="1" ht="50" customHeight="1">
      <c r="A149" s="263" t="s">
        <v>518</v>
      </c>
      <c r="B149" s="264"/>
      <c r="C149" s="86"/>
      <c r="D149" s="86"/>
      <c r="E149" s="60">
        <v>68</v>
      </c>
      <c r="F149" s="86" t="e">
        <f t="shared" si="4"/>
        <v>#DIV/0!</v>
      </c>
      <c r="G149" s="87">
        <v>2</v>
      </c>
      <c r="H149" s="87">
        <v>5</v>
      </c>
      <c r="I149" s="264"/>
      <c r="J149" s="264" t="s">
        <v>240</v>
      </c>
      <c r="K149" s="265" t="s">
        <v>519</v>
      </c>
      <c r="L149" s="98"/>
      <c r="M149" s="98"/>
      <c r="N149" s="99"/>
      <c r="O149" s="99" t="s">
        <v>335</v>
      </c>
      <c r="P149" s="266"/>
      <c r="Q149" s="93" t="s">
        <v>689</v>
      </c>
      <c r="R149" s="93"/>
      <c r="S149" s="60">
        <v>68</v>
      </c>
      <c r="T149" s="263">
        <f t="shared" si="5"/>
        <v>136</v>
      </c>
      <c r="U149" s="262"/>
      <c r="V149" s="262"/>
      <c r="W149" s="262"/>
      <c r="X149" s="262"/>
      <c r="Y149" s="262"/>
      <c r="Z149" s="262"/>
      <c r="AA149" s="262"/>
      <c r="AB149" s="262"/>
      <c r="AC149" s="262"/>
      <c r="AD149" s="262"/>
      <c r="AE149" s="262"/>
      <c r="AF149" s="262"/>
      <c r="AG149" s="262"/>
      <c r="AH149" s="262"/>
      <c r="AI149" s="262"/>
      <c r="AJ149" s="262"/>
      <c r="AK149" s="262"/>
      <c r="AL149" s="262"/>
      <c r="AM149" s="262"/>
      <c r="AN149" s="262"/>
      <c r="AO149" s="262"/>
      <c r="AP149" s="262"/>
      <c r="AQ149" s="262"/>
      <c r="AR149" s="262"/>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262"/>
      <c r="BT149" s="262"/>
      <c r="BU149" s="262"/>
      <c r="BV149" s="262"/>
      <c r="BW149" s="262"/>
      <c r="BX149" s="262"/>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2"/>
      <c r="CV149" s="262"/>
      <c r="CW149" s="262"/>
      <c r="CX149" s="262"/>
      <c r="CY149" s="262"/>
      <c r="CZ149" s="262"/>
      <c r="DA149" s="262"/>
      <c r="DB149" s="262"/>
      <c r="DC149" s="262"/>
      <c r="DD149" s="262"/>
      <c r="DE149" s="262"/>
      <c r="DF149" s="262"/>
      <c r="DG149" s="262"/>
      <c r="DH149" s="262"/>
      <c r="DI149" s="262"/>
      <c r="DJ149" s="262"/>
      <c r="DK149" s="262"/>
      <c r="DL149" s="262"/>
      <c r="DM149" s="262"/>
      <c r="DN149" s="262"/>
      <c r="DO149" s="262"/>
      <c r="DP149" s="262"/>
      <c r="DQ149" s="262"/>
      <c r="DR149" s="262"/>
      <c r="DS149" s="262"/>
      <c r="DT149" s="262"/>
      <c r="DU149" s="262"/>
      <c r="DV149" s="262"/>
      <c r="DW149" s="262"/>
      <c r="DX149" s="262"/>
      <c r="DY149" s="262"/>
      <c r="DZ149" s="262"/>
      <c r="EA149" s="262"/>
      <c r="EB149" s="262"/>
      <c r="EC149" s="262"/>
      <c r="ED149" s="262"/>
      <c r="EE149" s="262"/>
      <c r="EF149" s="262"/>
      <c r="EG149" s="262"/>
      <c r="EH149" s="262"/>
      <c r="EI149" s="262"/>
      <c r="EJ149" s="262"/>
      <c r="EK149" s="262"/>
      <c r="EL149" s="262"/>
      <c r="EM149" s="262"/>
      <c r="EN149" s="262"/>
      <c r="EO149" s="262"/>
      <c r="EP149" s="262"/>
      <c r="EQ149" s="262"/>
      <c r="ER149" s="262"/>
      <c r="ES149" s="262"/>
      <c r="ET149" s="262"/>
      <c r="EU149" s="262"/>
      <c r="EV149" s="262"/>
      <c r="EW149" s="262"/>
      <c r="EX149" s="262"/>
      <c r="EY149" s="262"/>
      <c r="EZ149" s="262"/>
      <c r="FA149" s="262"/>
      <c r="FB149" s="262"/>
      <c r="FC149" s="262"/>
      <c r="FD149" s="262"/>
      <c r="FE149" s="262"/>
      <c r="FF149" s="262"/>
      <c r="FG149" s="262"/>
      <c r="FH149" s="262"/>
      <c r="FI149" s="262"/>
      <c r="FJ149" s="262"/>
      <c r="FK149" s="262"/>
      <c r="FL149" s="262"/>
      <c r="FM149" s="262"/>
      <c r="FN149" s="262"/>
      <c r="FO149" s="262"/>
      <c r="FP149" s="262"/>
      <c r="FQ149" s="262"/>
      <c r="FR149" s="262"/>
      <c r="FS149" s="262"/>
      <c r="FT149" s="262"/>
      <c r="FU149" s="262"/>
      <c r="FV149" s="262"/>
      <c r="FW149" s="262"/>
      <c r="FX149" s="262"/>
      <c r="FY149" s="262"/>
      <c r="FZ149" s="262"/>
      <c r="GA149" s="262"/>
      <c r="GB149" s="262"/>
      <c r="GC149" s="262"/>
      <c r="GD149" s="262"/>
      <c r="GE149" s="262"/>
      <c r="GF149" s="262"/>
      <c r="GG149" s="262"/>
      <c r="GH149" s="262"/>
      <c r="GI149" s="262"/>
      <c r="GJ149" s="262"/>
      <c r="GK149" s="262"/>
      <c r="GL149" s="262"/>
      <c r="GM149" s="262"/>
      <c r="GN149" s="262"/>
      <c r="GO149" s="262"/>
      <c r="GP149" s="262"/>
      <c r="GQ149" s="262"/>
      <c r="GR149" s="262"/>
      <c r="GS149" s="262"/>
      <c r="GT149" s="262"/>
      <c r="GU149" s="262"/>
      <c r="GV149" s="262"/>
      <c r="GW149" s="262"/>
      <c r="GX149" s="262"/>
      <c r="GY149" s="262"/>
      <c r="GZ149" s="262"/>
      <c r="HA149" s="262"/>
      <c r="HB149" s="262"/>
      <c r="HC149" s="262"/>
      <c r="HD149" s="262"/>
      <c r="HE149" s="262"/>
      <c r="HF149" s="262"/>
      <c r="HG149" s="262"/>
      <c r="HH149" s="262"/>
      <c r="HI149" s="262"/>
      <c r="HJ149" s="262"/>
      <c r="HK149" s="262"/>
      <c r="HL149" s="262"/>
      <c r="HM149" s="262"/>
      <c r="HN149" s="262"/>
      <c r="HO149" s="262"/>
      <c r="HP149" s="262"/>
      <c r="HQ149" s="262"/>
      <c r="HR149" s="262"/>
      <c r="HS149" s="262"/>
      <c r="HT149" s="262"/>
      <c r="HU149" s="262"/>
      <c r="HV149" s="262"/>
      <c r="HW149" s="262"/>
      <c r="HX149" s="262"/>
      <c r="HY149" s="262"/>
      <c r="HZ149" s="262"/>
      <c r="IA149" s="262"/>
      <c r="IB149" s="262"/>
      <c r="IC149" s="262"/>
      <c r="ID149" s="262"/>
      <c r="IE149" s="262"/>
      <c r="IF149" s="262"/>
      <c r="IG149" s="262"/>
      <c r="IH149" s="262"/>
      <c r="II149" s="262"/>
      <c r="IJ149" s="262"/>
      <c r="IK149" s="262"/>
      <c r="IL149" s="262"/>
      <c r="IM149" s="262"/>
      <c r="IN149" s="262"/>
      <c r="IO149" s="262"/>
      <c r="IP149" s="262"/>
      <c r="IQ149" s="262"/>
      <c r="IR149" s="262"/>
      <c r="IS149" s="262"/>
      <c r="IT149" s="262"/>
      <c r="IU149" s="262"/>
      <c r="IV149" s="262"/>
      <c r="IW149" s="262"/>
      <c r="IX149" s="262"/>
      <c r="IY149" s="262"/>
      <c r="IZ149" s="262"/>
      <c r="JA149" s="262"/>
      <c r="JB149" s="262"/>
      <c r="JC149" s="262"/>
      <c r="JD149" s="262"/>
      <c r="JE149" s="262"/>
      <c r="JF149" s="262"/>
      <c r="JG149" s="262"/>
      <c r="JH149" s="262"/>
      <c r="JI149" s="262"/>
      <c r="JJ149" s="262"/>
      <c r="JK149" s="262"/>
      <c r="JL149" s="262"/>
      <c r="JM149" s="262"/>
      <c r="JN149" s="262"/>
      <c r="JO149" s="262"/>
      <c r="JP149" s="262"/>
      <c r="JQ149" s="262"/>
      <c r="JR149" s="262"/>
      <c r="JS149" s="262"/>
      <c r="JT149" s="262"/>
      <c r="JU149" s="262"/>
      <c r="JV149" s="262"/>
      <c r="JW149" s="262"/>
      <c r="JX149" s="262"/>
      <c r="JY149" s="262"/>
      <c r="JZ149" s="262"/>
      <c r="KA149" s="262"/>
      <c r="KB149" s="262"/>
      <c r="KC149" s="262"/>
      <c r="KD149" s="262"/>
      <c r="KE149" s="262"/>
      <c r="KF149" s="262"/>
      <c r="KG149" s="262"/>
      <c r="KH149" s="262"/>
      <c r="KI149" s="262"/>
      <c r="KJ149" s="262"/>
      <c r="KK149" s="262"/>
      <c r="KL149" s="262"/>
      <c r="KM149" s="262"/>
      <c r="KN149" s="262"/>
      <c r="KO149" s="262"/>
      <c r="KP149" s="262"/>
      <c r="KQ149" s="262"/>
      <c r="KR149" s="262"/>
      <c r="KS149" s="262"/>
      <c r="KT149" s="262"/>
      <c r="KU149" s="262"/>
      <c r="KV149" s="262"/>
      <c r="KW149" s="262"/>
      <c r="KX149" s="262"/>
      <c r="KY149" s="262"/>
      <c r="KZ149" s="262"/>
    </row>
    <row r="150" spans="1:312" s="85" customFormat="1" ht="50" customHeight="1">
      <c r="A150" s="263" t="s">
        <v>192</v>
      </c>
      <c r="B150" s="264"/>
      <c r="C150" s="86"/>
      <c r="D150" s="86"/>
      <c r="E150" s="60">
        <v>1503</v>
      </c>
      <c r="F150" s="86" t="e">
        <f t="shared" si="4"/>
        <v>#DIV/0!</v>
      </c>
      <c r="G150" s="87">
        <v>2</v>
      </c>
      <c r="H150" s="87">
        <v>5</v>
      </c>
      <c r="I150" s="264"/>
      <c r="J150" s="264" t="s">
        <v>240</v>
      </c>
      <c r="K150" s="265" t="s">
        <v>520</v>
      </c>
      <c r="L150" s="97" t="s">
        <v>689</v>
      </c>
      <c r="M150" s="98"/>
      <c r="N150" s="99"/>
      <c r="O150" s="99" t="s">
        <v>335</v>
      </c>
      <c r="P150" s="266"/>
      <c r="Q150" s="93" t="s">
        <v>689</v>
      </c>
      <c r="R150" s="93"/>
      <c r="S150" s="60">
        <v>1503</v>
      </c>
      <c r="T150" s="263">
        <f t="shared" si="5"/>
        <v>3006</v>
      </c>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262"/>
      <c r="BT150" s="262"/>
      <c r="BU150" s="262"/>
      <c r="BV150" s="262"/>
      <c r="BW150" s="262"/>
      <c r="BX150" s="262"/>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2"/>
      <c r="CV150" s="262"/>
      <c r="CW150" s="262"/>
      <c r="CX150" s="262"/>
      <c r="CY150" s="262"/>
      <c r="CZ150" s="262"/>
      <c r="DA150" s="262"/>
      <c r="DB150" s="262"/>
      <c r="DC150" s="262"/>
      <c r="DD150" s="262"/>
      <c r="DE150" s="262"/>
      <c r="DF150" s="262"/>
      <c r="DG150" s="262"/>
      <c r="DH150" s="262"/>
      <c r="DI150" s="262"/>
      <c r="DJ150" s="262"/>
      <c r="DK150" s="262"/>
      <c r="DL150" s="262"/>
      <c r="DM150" s="262"/>
      <c r="DN150" s="262"/>
      <c r="DO150" s="262"/>
      <c r="DP150" s="262"/>
      <c r="DQ150" s="262"/>
      <c r="DR150" s="262"/>
      <c r="DS150" s="262"/>
      <c r="DT150" s="262"/>
      <c r="DU150" s="262"/>
      <c r="DV150" s="262"/>
      <c r="DW150" s="262"/>
      <c r="DX150" s="262"/>
      <c r="DY150" s="262"/>
      <c r="DZ150" s="262"/>
      <c r="EA150" s="262"/>
      <c r="EB150" s="262"/>
      <c r="EC150" s="262"/>
      <c r="ED150" s="262"/>
      <c r="EE150" s="262"/>
      <c r="EF150" s="262"/>
      <c r="EG150" s="262"/>
      <c r="EH150" s="262"/>
      <c r="EI150" s="262"/>
      <c r="EJ150" s="262"/>
      <c r="EK150" s="262"/>
      <c r="EL150" s="262"/>
      <c r="EM150" s="262"/>
      <c r="EN150" s="262"/>
      <c r="EO150" s="262"/>
      <c r="EP150" s="262"/>
      <c r="EQ150" s="262"/>
      <c r="ER150" s="262"/>
      <c r="ES150" s="262"/>
      <c r="ET150" s="262"/>
      <c r="EU150" s="262"/>
      <c r="EV150" s="262"/>
      <c r="EW150" s="262"/>
      <c r="EX150" s="262"/>
      <c r="EY150" s="262"/>
      <c r="EZ150" s="262"/>
      <c r="FA150" s="262"/>
      <c r="FB150" s="262"/>
      <c r="FC150" s="262"/>
      <c r="FD150" s="262"/>
      <c r="FE150" s="262"/>
      <c r="FF150" s="262"/>
      <c r="FG150" s="262"/>
      <c r="FH150" s="262"/>
      <c r="FI150" s="262"/>
      <c r="FJ150" s="262"/>
      <c r="FK150" s="262"/>
      <c r="FL150" s="262"/>
      <c r="FM150" s="262"/>
      <c r="FN150" s="262"/>
      <c r="FO150" s="262"/>
      <c r="FP150" s="262"/>
      <c r="FQ150" s="262"/>
      <c r="FR150" s="262"/>
      <c r="FS150" s="262"/>
      <c r="FT150" s="262"/>
      <c r="FU150" s="262"/>
      <c r="FV150" s="262"/>
      <c r="FW150" s="262"/>
      <c r="FX150" s="262"/>
      <c r="FY150" s="262"/>
      <c r="FZ150" s="262"/>
      <c r="GA150" s="262"/>
      <c r="GB150" s="262"/>
      <c r="GC150" s="262"/>
      <c r="GD150" s="262"/>
      <c r="GE150" s="262"/>
      <c r="GF150" s="262"/>
      <c r="GG150" s="262"/>
      <c r="GH150" s="262"/>
      <c r="GI150" s="262"/>
      <c r="GJ150" s="262"/>
      <c r="GK150" s="262"/>
      <c r="GL150" s="262"/>
      <c r="GM150" s="262"/>
      <c r="GN150" s="262"/>
      <c r="GO150" s="262"/>
      <c r="GP150" s="262"/>
      <c r="GQ150" s="262"/>
      <c r="GR150" s="262"/>
      <c r="GS150" s="262"/>
      <c r="GT150" s="262"/>
      <c r="GU150" s="262"/>
      <c r="GV150" s="262"/>
      <c r="GW150" s="262"/>
      <c r="GX150" s="262"/>
      <c r="GY150" s="262"/>
      <c r="GZ150" s="262"/>
      <c r="HA150" s="262"/>
      <c r="HB150" s="262"/>
      <c r="HC150" s="262"/>
      <c r="HD150" s="262"/>
      <c r="HE150" s="262"/>
      <c r="HF150" s="262"/>
      <c r="HG150" s="262"/>
      <c r="HH150" s="262"/>
      <c r="HI150" s="262"/>
      <c r="HJ150" s="262"/>
      <c r="HK150" s="262"/>
      <c r="HL150" s="262"/>
      <c r="HM150" s="262"/>
      <c r="HN150" s="262"/>
      <c r="HO150" s="262"/>
      <c r="HP150" s="262"/>
      <c r="HQ150" s="262"/>
      <c r="HR150" s="262"/>
      <c r="HS150" s="262"/>
      <c r="HT150" s="262"/>
      <c r="HU150" s="262"/>
      <c r="HV150" s="262"/>
      <c r="HW150" s="262"/>
      <c r="HX150" s="262"/>
      <c r="HY150" s="262"/>
      <c r="HZ150" s="262"/>
      <c r="IA150" s="262"/>
      <c r="IB150" s="262"/>
      <c r="IC150" s="262"/>
      <c r="ID150" s="262"/>
      <c r="IE150" s="262"/>
      <c r="IF150" s="262"/>
      <c r="IG150" s="262"/>
      <c r="IH150" s="262"/>
      <c r="II150" s="262"/>
      <c r="IJ150" s="262"/>
      <c r="IK150" s="262"/>
      <c r="IL150" s="262"/>
      <c r="IM150" s="262"/>
      <c r="IN150" s="262"/>
      <c r="IO150" s="262"/>
      <c r="IP150" s="262"/>
      <c r="IQ150" s="262"/>
      <c r="IR150" s="262"/>
      <c r="IS150" s="262"/>
      <c r="IT150" s="262"/>
      <c r="IU150" s="262"/>
      <c r="IV150" s="262"/>
      <c r="IW150" s="262"/>
      <c r="IX150" s="262"/>
      <c r="IY150" s="262"/>
      <c r="IZ150" s="262"/>
      <c r="JA150" s="262"/>
      <c r="JB150" s="262"/>
      <c r="JC150" s="262"/>
      <c r="JD150" s="262"/>
      <c r="JE150" s="262"/>
      <c r="JF150" s="262"/>
      <c r="JG150" s="262"/>
      <c r="JH150" s="262"/>
      <c r="JI150" s="262"/>
      <c r="JJ150" s="262"/>
      <c r="JK150" s="262"/>
      <c r="JL150" s="262"/>
      <c r="JM150" s="262"/>
      <c r="JN150" s="262"/>
      <c r="JO150" s="262"/>
      <c r="JP150" s="262"/>
      <c r="JQ150" s="262"/>
      <c r="JR150" s="262"/>
      <c r="JS150" s="262"/>
      <c r="JT150" s="262"/>
      <c r="JU150" s="262"/>
      <c r="JV150" s="262"/>
      <c r="JW150" s="262"/>
      <c r="JX150" s="262"/>
      <c r="JY150" s="262"/>
      <c r="JZ150" s="262"/>
      <c r="KA150" s="262"/>
      <c r="KB150" s="262"/>
      <c r="KC150" s="262"/>
      <c r="KD150" s="262"/>
      <c r="KE150" s="262"/>
      <c r="KF150" s="262"/>
      <c r="KG150" s="262"/>
      <c r="KH150" s="262"/>
      <c r="KI150" s="262"/>
      <c r="KJ150" s="262"/>
      <c r="KK150" s="262"/>
      <c r="KL150" s="262"/>
      <c r="KM150" s="262"/>
      <c r="KN150" s="262"/>
      <c r="KO150" s="262"/>
      <c r="KP150" s="262"/>
      <c r="KQ150" s="262"/>
      <c r="KR150" s="262"/>
      <c r="KS150" s="262"/>
      <c r="KT150" s="262"/>
      <c r="KU150" s="262"/>
      <c r="KV150" s="262"/>
      <c r="KW150" s="262"/>
      <c r="KX150" s="262"/>
      <c r="KY150" s="262"/>
      <c r="KZ150" s="262"/>
    </row>
    <row r="151" spans="1:312" s="85" customFormat="1" ht="50" customHeight="1">
      <c r="A151" s="263" t="s">
        <v>533</v>
      </c>
      <c r="B151" s="264"/>
      <c r="C151" s="86"/>
      <c r="D151" s="86"/>
      <c r="E151" s="60">
        <v>68</v>
      </c>
      <c r="F151" s="86" t="e">
        <f t="shared" si="4"/>
        <v>#DIV/0!</v>
      </c>
      <c r="G151" s="87">
        <v>2</v>
      </c>
      <c r="H151" s="87">
        <v>5</v>
      </c>
      <c r="I151" s="264"/>
      <c r="J151" s="264" t="s">
        <v>733</v>
      </c>
      <c r="K151" s="265" t="s">
        <v>534</v>
      </c>
      <c r="L151" s="98"/>
      <c r="M151" s="98"/>
      <c r="N151" s="99"/>
      <c r="O151" s="99" t="s">
        <v>335</v>
      </c>
      <c r="P151" s="266"/>
      <c r="Q151" s="93"/>
      <c r="R151" s="93"/>
      <c r="S151" s="60">
        <v>68</v>
      </c>
      <c r="T151" s="263">
        <f t="shared" si="5"/>
        <v>136</v>
      </c>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262"/>
      <c r="BT151" s="262"/>
      <c r="BU151" s="262"/>
      <c r="BV151" s="262"/>
      <c r="BW151" s="262"/>
      <c r="BX151" s="262"/>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2"/>
      <c r="CV151" s="262"/>
      <c r="CW151" s="262"/>
      <c r="CX151" s="262"/>
      <c r="CY151" s="262"/>
      <c r="CZ151" s="262"/>
      <c r="DA151" s="262"/>
      <c r="DB151" s="262"/>
      <c r="DC151" s="262"/>
      <c r="DD151" s="262"/>
      <c r="DE151" s="262"/>
      <c r="DF151" s="262"/>
      <c r="DG151" s="262"/>
      <c r="DH151" s="262"/>
      <c r="DI151" s="262"/>
      <c r="DJ151" s="262"/>
      <c r="DK151" s="262"/>
      <c r="DL151" s="262"/>
      <c r="DM151" s="262"/>
      <c r="DN151" s="262"/>
      <c r="DO151" s="262"/>
      <c r="DP151" s="262"/>
      <c r="DQ151" s="262"/>
      <c r="DR151" s="262"/>
      <c r="DS151" s="262"/>
      <c r="DT151" s="262"/>
      <c r="DU151" s="262"/>
      <c r="DV151" s="262"/>
      <c r="DW151" s="262"/>
      <c r="DX151" s="262"/>
      <c r="DY151" s="262"/>
      <c r="DZ151" s="262"/>
      <c r="EA151" s="262"/>
      <c r="EB151" s="262"/>
      <c r="EC151" s="262"/>
      <c r="ED151" s="262"/>
      <c r="EE151" s="262"/>
      <c r="EF151" s="262"/>
      <c r="EG151" s="262"/>
      <c r="EH151" s="262"/>
      <c r="EI151" s="262"/>
      <c r="EJ151" s="262"/>
      <c r="EK151" s="262"/>
      <c r="EL151" s="262"/>
      <c r="EM151" s="262"/>
      <c r="EN151" s="262"/>
      <c r="EO151" s="262"/>
      <c r="EP151" s="262"/>
      <c r="EQ151" s="262"/>
      <c r="ER151" s="262"/>
      <c r="ES151" s="262"/>
      <c r="ET151" s="262"/>
      <c r="EU151" s="262"/>
      <c r="EV151" s="262"/>
      <c r="EW151" s="262"/>
      <c r="EX151" s="262"/>
      <c r="EY151" s="262"/>
      <c r="EZ151" s="262"/>
      <c r="FA151" s="262"/>
      <c r="FB151" s="262"/>
      <c r="FC151" s="262"/>
      <c r="FD151" s="262"/>
      <c r="FE151" s="262"/>
      <c r="FF151" s="262"/>
      <c r="FG151" s="262"/>
      <c r="FH151" s="262"/>
      <c r="FI151" s="262"/>
      <c r="FJ151" s="262"/>
      <c r="FK151" s="262"/>
      <c r="FL151" s="262"/>
      <c r="FM151" s="262"/>
      <c r="FN151" s="262"/>
      <c r="FO151" s="262"/>
      <c r="FP151" s="262"/>
      <c r="FQ151" s="262"/>
      <c r="FR151" s="262"/>
      <c r="FS151" s="262"/>
      <c r="FT151" s="262"/>
      <c r="FU151" s="262"/>
      <c r="FV151" s="262"/>
      <c r="FW151" s="262"/>
      <c r="FX151" s="262"/>
      <c r="FY151" s="262"/>
      <c r="FZ151" s="262"/>
      <c r="GA151" s="262"/>
      <c r="GB151" s="262"/>
      <c r="GC151" s="262"/>
      <c r="GD151" s="262"/>
      <c r="GE151" s="262"/>
      <c r="GF151" s="262"/>
      <c r="GG151" s="262"/>
      <c r="GH151" s="262"/>
      <c r="GI151" s="262"/>
      <c r="GJ151" s="262"/>
      <c r="GK151" s="262"/>
      <c r="GL151" s="262"/>
      <c r="GM151" s="262"/>
      <c r="GN151" s="262"/>
      <c r="GO151" s="262"/>
      <c r="GP151" s="262"/>
      <c r="GQ151" s="262"/>
      <c r="GR151" s="262"/>
      <c r="GS151" s="262"/>
      <c r="GT151" s="262"/>
      <c r="GU151" s="262"/>
      <c r="GV151" s="262"/>
      <c r="GW151" s="262"/>
      <c r="GX151" s="262"/>
      <c r="GY151" s="262"/>
      <c r="GZ151" s="262"/>
      <c r="HA151" s="262"/>
      <c r="HB151" s="262"/>
      <c r="HC151" s="262"/>
      <c r="HD151" s="262"/>
      <c r="HE151" s="262"/>
      <c r="HF151" s="262"/>
      <c r="HG151" s="262"/>
      <c r="HH151" s="262"/>
      <c r="HI151" s="262"/>
      <c r="HJ151" s="262"/>
      <c r="HK151" s="262"/>
      <c r="HL151" s="262"/>
      <c r="HM151" s="262"/>
      <c r="HN151" s="262"/>
      <c r="HO151" s="262"/>
      <c r="HP151" s="262"/>
      <c r="HQ151" s="262"/>
      <c r="HR151" s="262"/>
      <c r="HS151" s="262"/>
      <c r="HT151" s="262"/>
      <c r="HU151" s="262"/>
      <c r="HV151" s="262"/>
      <c r="HW151" s="262"/>
      <c r="HX151" s="262"/>
      <c r="HY151" s="262"/>
      <c r="HZ151" s="262"/>
      <c r="IA151" s="262"/>
      <c r="IB151" s="262"/>
      <c r="IC151" s="262"/>
      <c r="ID151" s="262"/>
      <c r="IE151" s="262"/>
      <c r="IF151" s="262"/>
      <c r="IG151" s="262"/>
      <c r="IH151" s="262"/>
      <c r="II151" s="262"/>
      <c r="IJ151" s="262"/>
      <c r="IK151" s="262"/>
      <c r="IL151" s="262"/>
      <c r="IM151" s="262"/>
      <c r="IN151" s="262"/>
      <c r="IO151" s="262"/>
      <c r="IP151" s="262"/>
      <c r="IQ151" s="262"/>
      <c r="IR151" s="262"/>
      <c r="IS151" s="262"/>
      <c r="IT151" s="262"/>
      <c r="IU151" s="262"/>
      <c r="IV151" s="262"/>
      <c r="IW151" s="262"/>
      <c r="IX151" s="262"/>
      <c r="IY151" s="262"/>
      <c r="IZ151" s="262"/>
      <c r="JA151" s="262"/>
      <c r="JB151" s="262"/>
      <c r="JC151" s="262"/>
      <c r="JD151" s="262"/>
      <c r="JE151" s="262"/>
      <c r="JF151" s="262"/>
      <c r="JG151" s="262"/>
      <c r="JH151" s="262"/>
      <c r="JI151" s="262"/>
      <c r="JJ151" s="262"/>
      <c r="JK151" s="262"/>
      <c r="JL151" s="262"/>
      <c r="JM151" s="262"/>
      <c r="JN151" s="262"/>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262"/>
      <c r="KP151" s="262"/>
      <c r="KQ151" s="262"/>
      <c r="KR151" s="262"/>
      <c r="KS151" s="262"/>
      <c r="KT151" s="262"/>
      <c r="KU151" s="262"/>
      <c r="KV151" s="262"/>
      <c r="KW151" s="262"/>
      <c r="KX151" s="262"/>
      <c r="KY151" s="262"/>
      <c r="KZ151" s="262"/>
    </row>
    <row r="153" spans="1:312" s="110" customFormat="1">
      <c r="A153" s="273"/>
      <c r="B153" s="274"/>
      <c r="C153" s="258"/>
      <c r="D153" s="258"/>
      <c r="E153" s="258"/>
      <c r="F153" s="258"/>
      <c r="G153" s="274"/>
      <c r="H153" s="274"/>
      <c r="I153" s="274"/>
      <c r="J153" s="274"/>
      <c r="K153" s="275"/>
      <c r="L153" s="275"/>
      <c r="M153" s="275"/>
      <c r="N153" s="276"/>
      <c r="O153" s="276"/>
      <c r="P153" s="276"/>
      <c r="Q153" s="275"/>
      <c r="R153" s="275"/>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c r="IW153" s="273"/>
      <c r="IX153" s="273"/>
      <c r="IY153" s="273"/>
      <c r="IZ153" s="273"/>
      <c r="JA153" s="273"/>
      <c r="JB153" s="273"/>
      <c r="JC153" s="273"/>
      <c r="JD153" s="273"/>
      <c r="JE153" s="273"/>
      <c r="JF153" s="273"/>
      <c r="JG153" s="273"/>
      <c r="JH153" s="273"/>
      <c r="JI153" s="273"/>
      <c r="JJ153" s="273"/>
      <c r="JK153" s="273"/>
      <c r="JL153" s="273"/>
      <c r="JM153" s="273"/>
      <c r="JN153" s="273"/>
      <c r="JO153" s="273"/>
      <c r="JP153" s="273"/>
      <c r="JQ153" s="273"/>
      <c r="JR153" s="273"/>
      <c r="JS153" s="273"/>
      <c r="JT153" s="273"/>
      <c r="JU153" s="273"/>
      <c r="JV153" s="273"/>
      <c r="JW153" s="273"/>
      <c r="JX153" s="273"/>
      <c r="JY153" s="273"/>
      <c r="JZ153" s="273"/>
      <c r="KA153" s="273"/>
      <c r="KB153" s="273"/>
      <c r="KC153" s="273"/>
      <c r="KD153" s="273"/>
      <c r="KE153" s="273"/>
      <c r="KF153" s="273"/>
      <c r="KG153" s="273"/>
      <c r="KH153" s="273"/>
      <c r="KI153" s="273"/>
      <c r="KJ153" s="273"/>
      <c r="KK153" s="273"/>
      <c r="KL153" s="273"/>
      <c r="KM153" s="273"/>
      <c r="KN153" s="273"/>
      <c r="KO153" s="273"/>
      <c r="KP153" s="273"/>
      <c r="KQ153" s="273"/>
      <c r="KR153" s="273"/>
      <c r="KS153" s="273"/>
      <c r="KT153" s="273"/>
      <c r="KU153" s="273"/>
      <c r="KV153" s="273"/>
      <c r="KW153" s="273"/>
      <c r="KX153" s="273"/>
      <c r="KY153" s="273"/>
      <c r="KZ153" s="273"/>
    </row>
  </sheetData>
  <printOptions gridLines="1"/>
  <pageMargins left="0.7" right="0.7" top="0.88" bottom="0.46" header="0.3" footer="0.3"/>
  <pageSetup paperSize="3" scale="43" fitToHeight="3" orientation="portrait"/>
  <headerFooter>
    <oddHeader>&amp;LPage &amp;P of &amp;N&amp;C&amp;"-,Bold Italic"&amp;24&amp;UBig Box Mobile Home and RV Program&amp;RMarch 16, 2017</oddHeader>
  </headerFooter>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dimension ref="A1:Q101"/>
  <sheetViews>
    <sheetView workbookViewId="0">
      <pane xSplit="5" ySplit="1" topLeftCell="G63" activePane="bottomRight" state="frozen"/>
      <selection pane="topRight" activeCell="D1" sqref="D1"/>
      <selection pane="bottomLeft" activeCell="A2" sqref="A2"/>
      <selection pane="bottomRight" activeCell="F100" sqref="F100"/>
    </sheetView>
  </sheetViews>
  <sheetFormatPr baseColWidth="10" defaultColWidth="8.83203125" defaultRowHeight="14" x14ac:dyDescent="0"/>
  <cols>
    <col min="1" max="1" width="8.83203125" style="149"/>
    <col min="2" max="2" width="14.5" style="149" customWidth="1"/>
    <col min="3" max="4" width="10" style="149" customWidth="1"/>
    <col min="5" max="5" width="8" style="149" customWidth="1"/>
    <col min="6" max="6" width="47.6640625" style="146" customWidth="1"/>
    <col min="7" max="9" width="8" style="166" customWidth="1"/>
    <col min="10" max="10" width="11.6640625" style="146" customWidth="1"/>
    <col min="11" max="11" width="11" style="152" customWidth="1"/>
    <col min="12" max="12" width="10.1640625" style="153" customWidth="1"/>
    <col min="13" max="13" width="12.83203125" style="146" customWidth="1"/>
    <col min="14" max="14" width="1.1640625" style="146" customWidth="1"/>
    <col min="15" max="17" width="8.83203125" style="153"/>
    <col min="18" max="16384" width="8.83203125" style="146"/>
  </cols>
  <sheetData>
    <row r="1" spans="1:17" ht="49.5" customHeight="1">
      <c r="A1" s="141" t="s">
        <v>793</v>
      </c>
      <c r="B1" s="141" t="s">
        <v>60</v>
      </c>
      <c r="C1" s="141" t="s">
        <v>794</v>
      </c>
      <c r="D1" s="141" t="s">
        <v>795</v>
      </c>
      <c r="E1" s="141" t="s">
        <v>549</v>
      </c>
      <c r="F1" s="141" t="s">
        <v>12</v>
      </c>
      <c r="G1" s="142" t="s">
        <v>796</v>
      </c>
      <c r="H1" s="143" t="s">
        <v>797</v>
      </c>
      <c r="I1" s="142" t="s">
        <v>798</v>
      </c>
      <c r="J1" s="141" t="s">
        <v>799</v>
      </c>
      <c r="K1" s="144" t="s">
        <v>800</v>
      </c>
      <c r="L1" s="145" t="s">
        <v>801</v>
      </c>
      <c r="M1" s="141" t="s">
        <v>802</v>
      </c>
      <c r="O1" s="147" t="s">
        <v>803</v>
      </c>
      <c r="P1" s="147" t="s">
        <v>804</v>
      </c>
      <c r="Q1" s="148" t="s">
        <v>805</v>
      </c>
    </row>
    <row r="2" spans="1:17" ht="15">
      <c r="A2" s="149">
        <v>85223</v>
      </c>
      <c r="B2" s="149" t="s">
        <v>564</v>
      </c>
      <c r="C2" s="149" t="s">
        <v>176</v>
      </c>
      <c r="D2" s="149" t="s">
        <v>85</v>
      </c>
      <c r="E2" s="149">
        <v>891155</v>
      </c>
      <c r="F2" s="150" t="s">
        <v>492</v>
      </c>
      <c r="G2" s="277">
        <v>3</v>
      </c>
      <c r="H2" s="277">
        <v>4</v>
      </c>
      <c r="I2" s="277">
        <v>12</v>
      </c>
      <c r="J2" s="151">
        <v>15990</v>
      </c>
      <c r="K2" s="152">
        <v>1.2923076923076922</v>
      </c>
      <c r="L2" s="153">
        <v>1599</v>
      </c>
      <c r="M2" s="151">
        <v>7933.5</v>
      </c>
      <c r="O2" s="154">
        <f>L2*H2</f>
        <v>6396</v>
      </c>
      <c r="P2" s="154">
        <f>O2*0.15</f>
        <v>959.4</v>
      </c>
      <c r="Q2" s="155">
        <f>P2+O2</f>
        <v>7355.4</v>
      </c>
    </row>
    <row r="3" spans="1:17" ht="15">
      <c r="A3" s="149">
        <v>85223</v>
      </c>
      <c r="B3" s="149" t="s">
        <v>564</v>
      </c>
      <c r="C3" s="149" t="s">
        <v>123</v>
      </c>
      <c r="D3" s="149" t="s">
        <v>85</v>
      </c>
      <c r="E3" s="149">
        <v>891168</v>
      </c>
      <c r="F3" s="150" t="s">
        <v>314</v>
      </c>
      <c r="G3" s="277" t="s">
        <v>335</v>
      </c>
      <c r="H3" s="277">
        <v>6</v>
      </c>
      <c r="I3" s="277">
        <v>12</v>
      </c>
      <c r="J3" s="151">
        <v>340.00000000000006</v>
      </c>
      <c r="K3" s="152">
        <v>2.3846153846153846</v>
      </c>
      <c r="L3" s="153">
        <v>68</v>
      </c>
      <c r="M3" s="151">
        <v>440.69230769230768</v>
      </c>
      <c r="O3" s="154">
        <f t="shared" ref="O3:O66" si="0">L3*H3</f>
        <v>408</v>
      </c>
      <c r="P3" s="154">
        <f t="shared" ref="P3:P66" si="1">O3*0.15</f>
        <v>61.199999999999996</v>
      </c>
      <c r="Q3" s="155">
        <f t="shared" ref="Q3:Q66" si="2">P3+O3</f>
        <v>469.2</v>
      </c>
    </row>
    <row r="4" spans="1:17" ht="15">
      <c r="A4" s="149">
        <v>85223</v>
      </c>
      <c r="B4" s="149" t="s">
        <v>564</v>
      </c>
      <c r="C4" s="149" t="s">
        <v>117</v>
      </c>
      <c r="D4" s="149" t="s">
        <v>85</v>
      </c>
      <c r="E4" s="149">
        <v>891171</v>
      </c>
      <c r="F4" s="150" t="s">
        <v>301</v>
      </c>
      <c r="G4" s="277">
        <v>6</v>
      </c>
      <c r="H4" s="277">
        <v>10</v>
      </c>
      <c r="I4" s="277">
        <v>24</v>
      </c>
      <c r="J4" s="151">
        <v>12024.000000000002</v>
      </c>
      <c r="K4" s="152">
        <v>0.78338461538461535</v>
      </c>
      <c r="L4" s="153">
        <v>1503</v>
      </c>
      <c r="M4" s="151">
        <v>16186.153846153846</v>
      </c>
      <c r="O4" s="154">
        <f t="shared" si="0"/>
        <v>15030</v>
      </c>
      <c r="P4" s="154">
        <f t="shared" si="1"/>
        <v>2254.5</v>
      </c>
      <c r="Q4" s="155">
        <f t="shared" si="2"/>
        <v>17284.5</v>
      </c>
    </row>
    <row r="5" spans="1:17" ht="15">
      <c r="A5" s="149">
        <v>85223</v>
      </c>
      <c r="B5" s="149" t="s">
        <v>564</v>
      </c>
      <c r="C5" s="149" t="s">
        <v>86</v>
      </c>
      <c r="D5" s="149" t="s">
        <v>85</v>
      </c>
      <c r="E5" s="149">
        <v>891172</v>
      </c>
      <c r="F5" s="150" t="s">
        <v>219</v>
      </c>
      <c r="G5" s="277">
        <v>3</v>
      </c>
      <c r="H5" s="277">
        <v>3</v>
      </c>
      <c r="I5" s="277">
        <v>12</v>
      </c>
      <c r="J5" s="151">
        <v>2800</v>
      </c>
      <c r="K5" s="152">
        <v>0.91230769230769226</v>
      </c>
      <c r="L5" s="153">
        <v>280</v>
      </c>
      <c r="M5" s="151">
        <v>1680</v>
      </c>
      <c r="O5" s="154">
        <f t="shared" si="0"/>
        <v>840</v>
      </c>
      <c r="P5" s="154">
        <f t="shared" si="1"/>
        <v>126</v>
      </c>
      <c r="Q5" s="155">
        <f t="shared" si="2"/>
        <v>966</v>
      </c>
    </row>
    <row r="6" spans="1:17" ht="15">
      <c r="A6" s="149">
        <v>85223</v>
      </c>
      <c r="B6" s="149" t="s">
        <v>564</v>
      </c>
      <c r="C6" s="149" t="s">
        <v>114</v>
      </c>
      <c r="D6" s="149" t="s">
        <v>85</v>
      </c>
      <c r="E6" s="149">
        <v>891173</v>
      </c>
      <c r="F6" s="146" t="s">
        <v>290</v>
      </c>
      <c r="G6" s="277">
        <v>6</v>
      </c>
      <c r="H6" s="277">
        <v>10</v>
      </c>
      <c r="I6" s="277">
        <v>24</v>
      </c>
      <c r="J6" s="151">
        <v>33579</v>
      </c>
      <c r="K6" s="152">
        <v>0.49</v>
      </c>
      <c r="L6" s="153">
        <v>1603</v>
      </c>
      <c r="M6" s="151">
        <v>10517.84</v>
      </c>
      <c r="O6" s="154">
        <f t="shared" si="0"/>
        <v>16030</v>
      </c>
      <c r="P6" s="154">
        <f t="shared" si="1"/>
        <v>2404.5</v>
      </c>
      <c r="Q6" s="155">
        <f t="shared" si="2"/>
        <v>18434.5</v>
      </c>
    </row>
    <row r="7" spans="1:17" ht="15">
      <c r="A7" s="149">
        <v>85223</v>
      </c>
      <c r="B7" s="149" t="s">
        <v>564</v>
      </c>
      <c r="C7" s="149" t="s">
        <v>79</v>
      </c>
      <c r="D7" s="149" t="s">
        <v>85</v>
      </c>
      <c r="E7" s="149">
        <v>891174</v>
      </c>
      <c r="F7" s="150" t="s">
        <v>210</v>
      </c>
      <c r="G7" s="277">
        <v>3</v>
      </c>
      <c r="H7" s="277">
        <v>6</v>
      </c>
      <c r="I7" s="277">
        <v>24</v>
      </c>
      <c r="J7" s="151">
        <v>10290</v>
      </c>
      <c r="K7" s="152">
        <v>0.49230769230769228</v>
      </c>
      <c r="L7" s="153">
        <v>1715</v>
      </c>
      <c r="M7" s="151">
        <v>11279.423076923076</v>
      </c>
      <c r="O7" s="154">
        <f t="shared" si="0"/>
        <v>10290</v>
      </c>
      <c r="P7" s="154">
        <f t="shared" si="1"/>
        <v>1543.5</v>
      </c>
      <c r="Q7" s="155">
        <f t="shared" si="2"/>
        <v>11833.5</v>
      </c>
    </row>
    <row r="8" spans="1:17" ht="15">
      <c r="A8" s="149">
        <v>85223</v>
      </c>
      <c r="B8" s="149" t="s">
        <v>564</v>
      </c>
      <c r="C8" s="149" t="s">
        <v>167</v>
      </c>
      <c r="D8" s="149" t="s">
        <v>85</v>
      </c>
      <c r="E8" s="149">
        <v>891175</v>
      </c>
      <c r="F8" s="150" t="s">
        <v>445</v>
      </c>
      <c r="G8" s="277">
        <v>3</v>
      </c>
      <c r="H8" s="277">
        <v>6</v>
      </c>
      <c r="I8" s="277">
        <v>24</v>
      </c>
      <c r="J8" s="151">
        <v>13720.000000000002</v>
      </c>
      <c r="K8" s="152">
        <v>0.49230769230769228</v>
      </c>
      <c r="L8" s="153">
        <v>1715</v>
      </c>
      <c r="M8" s="151">
        <v>11609.23076923077</v>
      </c>
      <c r="O8" s="154">
        <f t="shared" si="0"/>
        <v>10290</v>
      </c>
      <c r="P8" s="154">
        <f t="shared" si="1"/>
        <v>1543.5</v>
      </c>
      <c r="Q8" s="155">
        <f t="shared" si="2"/>
        <v>11833.5</v>
      </c>
    </row>
    <row r="9" spans="1:17" ht="15">
      <c r="A9" s="149">
        <v>85223</v>
      </c>
      <c r="B9" s="149" t="s">
        <v>564</v>
      </c>
      <c r="C9" s="149" t="s">
        <v>169</v>
      </c>
      <c r="D9" s="149" t="s">
        <v>85</v>
      </c>
      <c r="E9" s="149">
        <v>891176</v>
      </c>
      <c r="F9" s="150" t="s">
        <v>449</v>
      </c>
      <c r="G9" s="277">
        <v>3</v>
      </c>
      <c r="H9" s="277">
        <v>6</v>
      </c>
      <c r="I9" s="277">
        <v>24</v>
      </c>
      <c r="J9" s="151">
        <v>9018</v>
      </c>
      <c r="K9" s="152">
        <v>0.49230769230769228</v>
      </c>
      <c r="L9" s="153">
        <v>1503</v>
      </c>
      <c r="M9" s="151">
        <v>9885.1153846153848</v>
      </c>
      <c r="O9" s="154">
        <f t="shared" si="0"/>
        <v>9018</v>
      </c>
      <c r="P9" s="154">
        <f t="shared" si="1"/>
        <v>1352.7</v>
      </c>
      <c r="Q9" s="155">
        <f t="shared" si="2"/>
        <v>10370.700000000001</v>
      </c>
    </row>
    <row r="10" spans="1:17" ht="15">
      <c r="A10" s="149">
        <v>85223</v>
      </c>
      <c r="B10" s="149" t="s">
        <v>564</v>
      </c>
      <c r="C10" s="149" t="s">
        <v>179</v>
      </c>
      <c r="D10" s="149" t="s">
        <v>85</v>
      </c>
      <c r="E10" s="149">
        <v>891177</v>
      </c>
      <c r="F10" s="150" t="s">
        <v>498</v>
      </c>
      <c r="G10" s="277">
        <v>3</v>
      </c>
      <c r="H10" s="277">
        <v>6</v>
      </c>
      <c r="I10" s="277">
        <v>24</v>
      </c>
      <c r="J10" s="151">
        <v>12005</v>
      </c>
      <c r="K10" s="152">
        <v>0.58461538461538465</v>
      </c>
      <c r="L10" s="153">
        <v>1715</v>
      </c>
      <c r="M10" s="151">
        <v>11444.326923076924</v>
      </c>
      <c r="O10" s="154">
        <f t="shared" si="0"/>
        <v>10290</v>
      </c>
      <c r="P10" s="154">
        <f t="shared" si="1"/>
        <v>1543.5</v>
      </c>
      <c r="Q10" s="155">
        <f t="shared" si="2"/>
        <v>11833.5</v>
      </c>
    </row>
    <row r="11" spans="1:17" ht="15">
      <c r="A11" s="149">
        <v>85223</v>
      </c>
      <c r="B11" s="149" t="s">
        <v>564</v>
      </c>
      <c r="C11" s="149" t="s">
        <v>116</v>
      </c>
      <c r="D11" s="149" t="s">
        <v>85</v>
      </c>
      <c r="E11" s="149" t="s">
        <v>806</v>
      </c>
      <c r="F11" s="146" t="s">
        <v>299</v>
      </c>
      <c r="G11" s="277">
        <v>6</v>
      </c>
      <c r="H11" s="277">
        <v>10</v>
      </c>
      <c r="I11" s="277">
        <v>24</v>
      </c>
      <c r="J11" s="151">
        <v>7995</v>
      </c>
      <c r="K11" s="152">
        <v>0.87</v>
      </c>
      <c r="L11" s="153">
        <v>1599</v>
      </c>
      <c r="M11" s="151">
        <v>16758.75</v>
      </c>
      <c r="O11" s="154">
        <f t="shared" si="0"/>
        <v>15990</v>
      </c>
      <c r="P11" s="154">
        <f t="shared" si="1"/>
        <v>2398.5</v>
      </c>
      <c r="Q11" s="155">
        <f t="shared" si="2"/>
        <v>18388.5</v>
      </c>
    </row>
    <row r="12" spans="1:17" ht="15">
      <c r="A12" s="149">
        <v>85223</v>
      </c>
      <c r="B12" s="149" t="s">
        <v>564</v>
      </c>
      <c r="C12" s="149" t="s">
        <v>112</v>
      </c>
      <c r="D12" s="149" t="s">
        <v>85</v>
      </c>
      <c r="E12" s="149">
        <v>891179</v>
      </c>
      <c r="F12" s="146" t="s">
        <v>288</v>
      </c>
      <c r="G12" s="277">
        <v>6</v>
      </c>
      <c r="H12" s="277">
        <v>6</v>
      </c>
      <c r="I12" s="277">
        <v>24</v>
      </c>
      <c r="J12" s="151">
        <v>33579</v>
      </c>
      <c r="K12" s="152">
        <v>0.55000000000000004</v>
      </c>
      <c r="L12" s="153">
        <v>1603</v>
      </c>
      <c r="M12" s="151">
        <v>12261.45</v>
      </c>
      <c r="O12" s="154">
        <f t="shared" si="0"/>
        <v>9618</v>
      </c>
      <c r="P12" s="154">
        <f t="shared" si="1"/>
        <v>1442.7</v>
      </c>
      <c r="Q12" s="155">
        <f t="shared" si="2"/>
        <v>11060.7</v>
      </c>
    </row>
    <row r="13" spans="1:17" ht="15">
      <c r="A13" s="149">
        <v>85223</v>
      </c>
      <c r="B13" s="149" t="s">
        <v>564</v>
      </c>
      <c r="C13" s="149" t="s">
        <v>147</v>
      </c>
      <c r="D13" s="149" t="s">
        <v>85</v>
      </c>
      <c r="E13" s="149">
        <v>891180</v>
      </c>
      <c r="F13" s="150" t="s">
        <v>387</v>
      </c>
      <c r="G13" s="277" t="s">
        <v>335</v>
      </c>
      <c r="H13" s="277">
        <v>3</v>
      </c>
      <c r="I13" s="277">
        <v>6</v>
      </c>
      <c r="J13" s="151">
        <v>340.00000000000006</v>
      </c>
      <c r="K13" s="152">
        <v>21.061538461538461</v>
      </c>
      <c r="L13" s="153">
        <v>68</v>
      </c>
      <c r="M13" s="151">
        <v>236.69230769230768</v>
      </c>
      <c r="O13" s="154">
        <f t="shared" si="0"/>
        <v>204</v>
      </c>
      <c r="P13" s="154">
        <f t="shared" si="1"/>
        <v>30.599999999999998</v>
      </c>
      <c r="Q13" s="155">
        <f t="shared" si="2"/>
        <v>234.6</v>
      </c>
    </row>
    <row r="14" spans="1:17" ht="15">
      <c r="A14" s="149">
        <v>85223</v>
      </c>
      <c r="B14" s="149" t="s">
        <v>564</v>
      </c>
      <c r="C14" s="149" t="s">
        <v>148</v>
      </c>
      <c r="D14" s="149" t="s">
        <v>85</v>
      </c>
      <c r="E14" s="149">
        <v>891181</v>
      </c>
      <c r="F14" s="150" t="s">
        <v>390</v>
      </c>
      <c r="G14" s="277" t="s">
        <v>335</v>
      </c>
      <c r="H14" s="277">
        <v>1</v>
      </c>
      <c r="I14" s="277">
        <v>6</v>
      </c>
      <c r="J14" s="151">
        <v>920</v>
      </c>
      <c r="K14" s="152">
        <v>30.553846153846152</v>
      </c>
      <c r="L14" s="153">
        <v>184</v>
      </c>
      <c r="M14" s="151">
        <v>456.46153846153845</v>
      </c>
      <c r="O14" s="154">
        <f t="shared" si="0"/>
        <v>184</v>
      </c>
      <c r="P14" s="154">
        <f t="shared" si="1"/>
        <v>27.599999999999998</v>
      </c>
      <c r="Q14" s="155">
        <f t="shared" si="2"/>
        <v>211.6</v>
      </c>
    </row>
    <row r="15" spans="1:17" ht="15">
      <c r="A15" s="149">
        <v>85223</v>
      </c>
      <c r="B15" s="149" t="s">
        <v>564</v>
      </c>
      <c r="C15" s="149" t="s">
        <v>149</v>
      </c>
      <c r="D15" s="149" t="s">
        <v>85</v>
      </c>
      <c r="E15" s="149">
        <v>891182</v>
      </c>
      <c r="F15" s="150" t="s">
        <v>392</v>
      </c>
      <c r="G15" s="277" t="s">
        <v>335</v>
      </c>
      <c r="H15" s="277">
        <v>1</v>
      </c>
      <c r="I15" s="277">
        <v>6</v>
      </c>
      <c r="J15" s="151">
        <v>920</v>
      </c>
      <c r="K15" s="152">
        <v>27.846153846153847</v>
      </c>
      <c r="L15" s="153">
        <v>184</v>
      </c>
      <c r="M15" s="151">
        <v>456.46153846153845</v>
      </c>
      <c r="O15" s="154">
        <f t="shared" si="0"/>
        <v>184</v>
      </c>
      <c r="P15" s="154">
        <f t="shared" si="1"/>
        <v>27.599999999999998</v>
      </c>
      <c r="Q15" s="155">
        <f t="shared" si="2"/>
        <v>211.6</v>
      </c>
    </row>
    <row r="16" spans="1:17" ht="15">
      <c r="A16" s="149">
        <v>85223</v>
      </c>
      <c r="B16" s="149" t="s">
        <v>564</v>
      </c>
      <c r="C16" s="149" t="s">
        <v>110</v>
      </c>
      <c r="D16" s="149" t="s">
        <v>85</v>
      </c>
      <c r="E16" s="149">
        <v>891183</v>
      </c>
      <c r="F16" s="146" t="s">
        <v>286</v>
      </c>
      <c r="G16" s="277">
        <v>6</v>
      </c>
      <c r="H16" s="277">
        <v>6</v>
      </c>
      <c r="I16" s="277">
        <v>24</v>
      </c>
      <c r="J16" s="151">
        <v>22386</v>
      </c>
      <c r="K16" s="152">
        <v>1.1499999999999999</v>
      </c>
      <c r="L16" s="153">
        <v>1603</v>
      </c>
      <c r="M16" s="151">
        <v>14554.26</v>
      </c>
      <c r="O16" s="154">
        <f t="shared" si="0"/>
        <v>9618</v>
      </c>
      <c r="P16" s="154">
        <f t="shared" si="1"/>
        <v>1442.7</v>
      </c>
      <c r="Q16" s="155">
        <f t="shared" si="2"/>
        <v>11060.7</v>
      </c>
    </row>
    <row r="17" spans="1:17" ht="15">
      <c r="A17" s="149">
        <v>85223</v>
      </c>
      <c r="B17" s="149" t="s">
        <v>564</v>
      </c>
      <c r="C17" s="149" t="s">
        <v>143</v>
      </c>
      <c r="D17" s="149" t="s">
        <v>85</v>
      </c>
      <c r="E17" s="149">
        <v>891184</v>
      </c>
      <c r="F17" s="150" t="s">
        <v>375</v>
      </c>
      <c r="G17" s="277">
        <v>3</v>
      </c>
      <c r="H17" s="277">
        <v>3</v>
      </c>
      <c r="I17" s="277">
        <v>12</v>
      </c>
      <c r="J17" s="151">
        <v>15990</v>
      </c>
      <c r="K17" s="152">
        <v>2.2846153846153845</v>
      </c>
      <c r="L17" s="153">
        <v>1599</v>
      </c>
      <c r="M17" s="151">
        <v>9594</v>
      </c>
      <c r="O17" s="154">
        <f t="shared" si="0"/>
        <v>4797</v>
      </c>
      <c r="P17" s="154">
        <f t="shared" si="1"/>
        <v>719.55</v>
      </c>
      <c r="Q17" s="155">
        <f t="shared" si="2"/>
        <v>5516.55</v>
      </c>
    </row>
    <row r="18" spans="1:17" ht="15">
      <c r="A18" s="149">
        <v>85223</v>
      </c>
      <c r="B18" s="149" t="s">
        <v>564</v>
      </c>
      <c r="C18" s="149" t="s">
        <v>144</v>
      </c>
      <c r="D18" s="149" t="s">
        <v>85</v>
      </c>
      <c r="E18" s="149">
        <v>891185</v>
      </c>
      <c r="F18" s="150" t="s">
        <v>378</v>
      </c>
      <c r="G18" s="277">
        <v>3</v>
      </c>
      <c r="H18" s="277">
        <v>3</v>
      </c>
      <c r="I18" s="277">
        <v>12</v>
      </c>
      <c r="J18" s="151">
        <v>32585</v>
      </c>
      <c r="K18" s="152">
        <v>2.2460000000000004</v>
      </c>
      <c r="L18" s="153">
        <v>1715</v>
      </c>
      <c r="M18" s="151">
        <v>10290</v>
      </c>
      <c r="O18" s="154">
        <f t="shared" si="0"/>
        <v>5145</v>
      </c>
      <c r="P18" s="154">
        <f t="shared" si="1"/>
        <v>771.75</v>
      </c>
      <c r="Q18" s="155">
        <f t="shared" si="2"/>
        <v>5916.75</v>
      </c>
    </row>
    <row r="19" spans="1:17" ht="15">
      <c r="A19" s="149">
        <v>85223</v>
      </c>
      <c r="B19" s="149" t="s">
        <v>564</v>
      </c>
      <c r="C19" s="156" t="s">
        <v>192</v>
      </c>
      <c r="D19" s="149" t="s">
        <v>85</v>
      </c>
      <c r="E19" s="156">
        <v>891189</v>
      </c>
      <c r="F19" s="157" t="s">
        <v>520</v>
      </c>
      <c r="G19" s="277">
        <v>3</v>
      </c>
      <c r="H19" s="277">
        <v>3</v>
      </c>
      <c r="I19" s="277">
        <v>12</v>
      </c>
      <c r="J19" s="151">
        <v>7515</v>
      </c>
      <c r="K19" s="158">
        <v>12.52</v>
      </c>
      <c r="L19" s="153">
        <v>1507</v>
      </c>
      <c r="M19" s="151">
        <v>5232</v>
      </c>
      <c r="O19" s="154">
        <f t="shared" si="0"/>
        <v>4521</v>
      </c>
      <c r="P19" s="154">
        <f t="shared" si="1"/>
        <v>678.15</v>
      </c>
      <c r="Q19" s="155">
        <f t="shared" si="2"/>
        <v>5199.1499999999996</v>
      </c>
    </row>
    <row r="20" spans="1:17" ht="15">
      <c r="A20" s="149">
        <v>85223</v>
      </c>
      <c r="B20" s="149" t="s">
        <v>564</v>
      </c>
      <c r="C20" s="149" t="s">
        <v>166</v>
      </c>
      <c r="D20" s="149" t="s">
        <v>85</v>
      </c>
      <c r="E20" s="149">
        <v>891190</v>
      </c>
      <c r="F20" s="150" t="s">
        <v>444</v>
      </c>
      <c r="G20" s="277" t="s">
        <v>335</v>
      </c>
      <c r="H20" s="277">
        <v>2</v>
      </c>
      <c r="I20" s="277">
        <v>6</v>
      </c>
      <c r="J20" s="151">
        <v>17150</v>
      </c>
      <c r="K20" s="152">
        <v>4.718</v>
      </c>
      <c r="L20" s="153">
        <v>1715</v>
      </c>
      <c r="M20" s="151">
        <v>6860</v>
      </c>
      <c r="O20" s="154">
        <f t="shared" si="0"/>
        <v>3430</v>
      </c>
      <c r="P20" s="154">
        <f t="shared" si="1"/>
        <v>514.5</v>
      </c>
      <c r="Q20" s="155">
        <f t="shared" si="2"/>
        <v>3944.5</v>
      </c>
    </row>
    <row r="21" spans="1:17" ht="15">
      <c r="A21" s="149">
        <v>85223</v>
      </c>
      <c r="B21" s="149" t="s">
        <v>564</v>
      </c>
      <c r="C21" s="149" t="s">
        <v>165</v>
      </c>
      <c r="D21" s="149" t="s">
        <v>85</v>
      </c>
      <c r="E21" s="149">
        <v>891195</v>
      </c>
      <c r="F21" s="150" t="s">
        <v>442</v>
      </c>
      <c r="G21" s="277" t="s">
        <v>335</v>
      </c>
      <c r="H21" s="277">
        <v>2</v>
      </c>
      <c r="I21" s="277">
        <v>6</v>
      </c>
      <c r="J21" s="151">
        <v>17150</v>
      </c>
      <c r="K21" s="152">
        <v>6.3264615384615395</v>
      </c>
      <c r="L21" s="153">
        <v>1715</v>
      </c>
      <c r="M21" s="151">
        <v>6860</v>
      </c>
      <c r="O21" s="154">
        <f t="shared" si="0"/>
        <v>3430</v>
      </c>
      <c r="P21" s="154">
        <f t="shared" si="1"/>
        <v>514.5</v>
      </c>
      <c r="Q21" s="155">
        <f t="shared" si="2"/>
        <v>3944.5</v>
      </c>
    </row>
    <row r="22" spans="1:17" ht="15">
      <c r="A22" s="149">
        <v>85223</v>
      </c>
      <c r="B22" s="149" t="s">
        <v>564</v>
      </c>
      <c r="C22" s="149" t="s">
        <v>145</v>
      </c>
      <c r="D22" s="149" t="s">
        <v>85</v>
      </c>
      <c r="E22" s="149">
        <v>891200</v>
      </c>
      <c r="F22" s="150" t="s">
        <v>383</v>
      </c>
      <c r="G22" s="277">
        <v>3</v>
      </c>
      <c r="H22" s="277">
        <v>5</v>
      </c>
      <c r="I22" s="277">
        <v>12</v>
      </c>
      <c r="J22" s="151">
        <v>17150</v>
      </c>
      <c r="K22" s="152">
        <v>1.4010769230769229</v>
      </c>
      <c r="L22" s="153">
        <v>1715</v>
      </c>
      <c r="M22" s="151">
        <v>10224.038461538461</v>
      </c>
      <c r="O22" s="154">
        <f t="shared" si="0"/>
        <v>8575</v>
      </c>
      <c r="P22" s="154">
        <f t="shared" si="1"/>
        <v>1286.25</v>
      </c>
      <c r="Q22" s="155">
        <f t="shared" si="2"/>
        <v>9861.25</v>
      </c>
    </row>
    <row r="23" spans="1:17" ht="15">
      <c r="A23" s="149">
        <v>85223</v>
      </c>
      <c r="B23" s="149" t="s">
        <v>564</v>
      </c>
      <c r="C23" s="149" t="s">
        <v>146</v>
      </c>
      <c r="D23" s="149" t="s">
        <v>85</v>
      </c>
      <c r="E23" s="149">
        <v>891201</v>
      </c>
      <c r="F23" s="150" t="s">
        <v>385</v>
      </c>
      <c r="G23" s="277">
        <v>3</v>
      </c>
      <c r="H23" s="277">
        <v>5</v>
      </c>
      <c r="I23" s="277">
        <v>12</v>
      </c>
      <c r="J23" s="151">
        <v>340.00000000000006</v>
      </c>
      <c r="K23" s="152">
        <v>0.92830769230769239</v>
      </c>
      <c r="L23" s="153">
        <v>68</v>
      </c>
      <c r="M23" s="151">
        <v>372.69230769230768</v>
      </c>
      <c r="O23" s="154">
        <f t="shared" si="0"/>
        <v>340</v>
      </c>
      <c r="P23" s="154">
        <f t="shared" si="1"/>
        <v>51</v>
      </c>
      <c r="Q23" s="155">
        <f t="shared" si="2"/>
        <v>391</v>
      </c>
    </row>
    <row r="24" spans="1:17" ht="15">
      <c r="A24" s="149">
        <v>85223</v>
      </c>
      <c r="B24" s="149" t="s">
        <v>564</v>
      </c>
      <c r="C24" s="149" t="s">
        <v>94</v>
      </c>
      <c r="D24" s="149" t="s">
        <v>85</v>
      </c>
      <c r="E24" s="149">
        <v>891202</v>
      </c>
      <c r="F24" s="150" t="s">
        <v>253</v>
      </c>
      <c r="G24" s="277">
        <v>12</v>
      </c>
      <c r="H24" s="277">
        <v>15</v>
      </c>
      <c r="I24" s="277">
        <v>48</v>
      </c>
      <c r="J24" s="151">
        <v>17150</v>
      </c>
      <c r="K24" s="152">
        <v>0.32307692307692304</v>
      </c>
      <c r="L24" s="153">
        <v>1715</v>
      </c>
      <c r="M24" s="151">
        <v>27374.038461538461</v>
      </c>
      <c r="O24" s="154">
        <f t="shared" si="0"/>
        <v>25725</v>
      </c>
      <c r="P24" s="154">
        <f t="shared" si="1"/>
        <v>3858.75</v>
      </c>
      <c r="Q24" s="155">
        <f t="shared" si="2"/>
        <v>29583.75</v>
      </c>
    </row>
    <row r="25" spans="1:17" ht="15">
      <c r="A25" s="149">
        <v>85223</v>
      </c>
      <c r="B25" s="149" t="s">
        <v>564</v>
      </c>
      <c r="C25" s="149" t="s">
        <v>200</v>
      </c>
      <c r="D25" s="149" t="s">
        <v>85</v>
      </c>
      <c r="E25" s="149">
        <v>891203</v>
      </c>
      <c r="F25" s="150" t="s">
        <v>254</v>
      </c>
      <c r="G25" s="277">
        <v>12</v>
      </c>
      <c r="H25" s="277">
        <v>15</v>
      </c>
      <c r="I25" s="277">
        <v>48</v>
      </c>
      <c r="J25" s="151">
        <v>1960</v>
      </c>
      <c r="K25" s="152">
        <v>0.32307692307692304</v>
      </c>
      <c r="L25" s="153">
        <v>280</v>
      </c>
      <c r="M25" s="151">
        <v>4388.4615384615381</v>
      </c>
      <c r="O25" s="154">
        <f t="shared" si="0"/>
        <v>4200</v>
      </c>
      <c r="P25" s="154">
        <f t="shared" si="1"/>
        <v>630</v>
      </c>
      <c r="Q25" s="155">
        <f t="shared" si="2"/>
        <v>4830</v>
      </c>
    </row>
    <row r="26" spans="1:17" ht="15">
      <c r="A26" s="149">
        <v>85223</v>
      </c>
      <c r="B26" s="149" t="s">
        <v>564</v>
      </c>
      <c r="C26" s="149" t="s">
        <v>97</v>
      </c>
      <c r="D26" s="149" t="s">
        <v>85</v>
      </c>
      <c r="E26" s="149">
        <v>891204</v>
      </c>
      <c r="F26" s="146" t="s">
        <v>256</v>
      </c>
      <c r="G26" s="277">
        <v>6</v>
      </c>
      <c r="H26" s="277">
        <v>3</v>
      </c>
      <c r="I26" s="277">
        <v>36</v>
      </c>
      <c r="J26" s="151">
        <v>1104.0000000000002</v>
      </c>
      <c r="K26" s="152">
        <v>5.42</v>
      </c>
      <c r="L26" s="153">
        <v>182</v>
      </c>
      <c r="M26" s="151">
        <v>1192</v>
      </c>
      <c r="O26" s="154">
        <f t="shared" si="0"/>
        <v>546</v>
      </c>
      <c r="P26" s="154">
        <f t="shared" si="1"/>
        <v>81.899999999999991</v>
      </c>
      <c r="Q26" s="155">
        <f t="shared" si="2"/>
        <v>627.9</v>
      </c>
    </row>
    <row r="27" spans="1:17" ht="15">
      <c r="A27" s="149">
        <v>85223</v>
      </c>
      <c r="B27" s="149" t="s">
        <v>564</v>
      </c>
      <c r="C27" s="149" t="s">
        <v>105</v>
      </c>
      <c r="D27" s="149" t="s">
        <v>85</v>
      </c>
      <c r="E27" s="149">
        <v>891206</v>
      </c>
      <c r="F27" s="150" t="s">
        <v>269</v>
      </c>
      <c r="G27" s="277">
        <v>3</v>
      </c>
      <c r="H27" s="277">
        <v>3</v>
      </c>
      <c r="I27" s="277">
        <v>48</v>
      </c>
      <c r="J27" s="151">
        <v>9594</v>
      </c>
      <c r="K27" s="152">
        <v>2.7846153846153845</v>
      </c>
      <c r="L27" s="153">
        <v>1599</v>
      </c>
      <c r="M27" s="151">
        <v>5719.5</v>
      </c>
      <c r="O27" s="154">
        <f t="shared" si="0"/>
        <v>4797</v>
      </c>
      <c r="P27" s="154">
        <f t="shared" si="1"/>
        <v>719.55</v>
      </c>
      <c r="Q27" s="155">
        <f t="shared" si="2"/>
        <v>5516.55</v>
      </c>
    </row>
    <row r="28" spans="1:17" ht="15">
      <c r="A28" s="149">
        <v>85223</v>
      </c>
      <c r="B28" s="149" t="s">
        <v>564</v>
      </c>
      <c r="C28" s="149" t="s">
        <v>108</v>
      </c>
      <c r="D28" s="149" t="s">
        <v>85</v>
      </c>
      <c r="E28" s="149">
        <v>891208</v>
      </c>
      <c r="F28" s="146" t="s">
        <v>277</v>
      </c>
      <c r="G28" s="277">
        <v>6</v>
      </c>
      <c r="H28" s="277">
        <v>5</v>
      </c>
      <c r="I28" s="277">
        <v>25</v>
      </c>
      <c r="J28" s="151">
        <v>9018</v>
      </c>
      <c r="K28" s="152">
        <v>1.57</v>
      </c>
      <c r="L28" s="153">
        <v>1507</v>
      </c>
      <c r="M28" s="151">
        <v>8382</v>
      </c>
      <c r="O28" s="154">
        <f t="shared" si="0"/>
        <v>7535</v>
      </c>
      <c r="P28" s="154">
        <f t="shared" si="1"/>
        <v>1130.25</v>
      </c>
      <c r="Q28" s="155">
        <f t="shared" si="2"/>
        <v>8665.25</v>
      </c>
    </row>
    <row r="29" spans="1:17" ht="15">
      <c r="A29" s="149">
        <v>85223</v>
      </c>
      <c r="B29" s="149" t="s">
        <v>564</v>
      </c>
      <c r="C29" s="149" t="s">
        <v>81</v>
      </c>
      <c r="D29" s="149" t="s">
        <v>85</v>
      </c>
      <c r="E29" s="149">
        <v>891211</v>
      </c>
      <c r="F29" s="150" t="s">
        <v>213</v>
      </c>
      <c r="G29" s="277">
        <v>6</v>
      </c>
      <c r="H29" s="277">
        <v>6</v>
      </c>
      <c r="I29" s="277">
        <v>24</v>
      </c>
      <c r="J29" s="151">
        <v>17150</v>
      </c>
      <c r="K29" s="152">
        <v>0.5707692307692307</v>
      </c>
      <c r="L29" s="153">
        <v>1715</v>
      </c>
      <c r="M29" s="151">
        <v>11939.038461538461</v>
      </c>
      <c r="O29" s="154">
        <f t="shared" si="0"/>
        <v>10290</v>
      </c>
      <c r="P29" s="154">
        <f t="shared" si="1"/>
        <v>1543.5</v>
      </c>
      <c r="Q29" s="155">
        <f t="shared" si="2"/>
        <v>11833.5</v>
      </c>
    </row>
    <row r="30" spans="1:17" ht="15">
      <c r="A30" s="149">
        <v>85223</v>
      </c>
      <c r="B30" s="149" t="s">
        <v>564</v>
      </c>
      <c r="C30" s="149" t="s">
        <v>130</v>
      </c>
      <c r="D30" s="149" t="s">
        <v>85</v>
      </c>
      <c r="E30" s="149">
        <v>891212</v>
      </c>
      <c r="F30" s="150" t="s">
        <v>341</v>
      </c>
      <c r="G30" s="277">
        <v>6</v>
      </c>
      <c r="H30" s="277">
        <v>6</v>
      </c>
      <c r="I30" s="277">
        <v>24</v>
      </c>
      <c r="J30" s="151">
        <v>340.00000000000006</v>
      </c>
      <c r="K30" s="152">
        <v>1.1538461538461537</v>
      </c>
      <c r="L30" s="153">
        <v>68</v>
      </c>
      <c r="M30" s="151">
        <v>440.69230769230768</v>
      </c>
      <c r="O30" s="154">
        <f t="shared" si="0"/>
        <v>408</v>
      </c>
      <c r="P30" s="154">
        <f t="shared" si="1"/>
        <v>61.199999999999996</v>
      </c>
      <c r="Q30" s="155">
        <f t="shared" si="2"/>
        <v>469.2</v>
      </c>
    </row>
    <row r="31" spans="1:17" ht="15">
      <c r="A31" s="149">
        <v>85223</v>
      </c>
      <c r="B31" s="149" t="s">
        <v>564</v>
      </c>
      <c r="C31" s="149" t="s">
        <v>135</v>
      </c>
      <c r="D31" s="149" t="s">
        <v>85</v>
      </c>
      <c r="E31" s="149">
        <v>891213</v>
      </c>
      <c r="F31" s="150" t="s">
        <v>351</v>
      </c>
      <c r="G31" s="277">
        <v>6</v>
      </c>
      <c r="H31" s="277">
        <v>6</v>
      </c>
      <c r="I31" s="277">
        <v>24</v>
      </c>
      <c r="J31" s="151">
        <v>25584</v>
      </c>
      <c r="K31" s="152">
        <v>1.7604615384615385</v>
      </c>
      <c r="L31" s="153">
        <v>1599</v>
      </c>
      <c r="M31" s="151">
        <v>12054</v>
      </c>
      <c r="O31" s="154">
        <f t="shared" si="0"/>
        <v>9594</v>
      </c>
      <c r="P31" s="154">
        <f t="shared" si="1"/>
        <v>1439.1</v>
      </c>
      <c r="Q31" s="155">
        <f t="shared" si="2"/>
        <v>11033.1</v>
      </c>
    </row>
    <row r="32" spans="1:17" ht="15">
      <c r="A32" s="149">
        <v>85223</v>
      </c>
      <c r="B32" s="149" t="s">
        <v>564</v>
      </c>
      <c r="C32" s="149" t="s">
        <v>156</v>
      </c>
      <c r="D32" s="149" t="s">
        <v>85</v>
      </c>
      <c r="E32" s="149">
        <v>891214</v>
      </c>
      <c r="F32" s="150" t="s">
        <v>407</v>
      </c>
      <c r="G32" s="277">
        <v>6</v>
      </c>
      <c r="H32" s="277">
        <v>6</v>
      </c>
      <c r="I32" s="277">
        <v>24</v>
      </c>
      <c r="J32" s="151">
        <v>340.00000000000006</v>
      </c>
      <c r="K32" s="152">
        <v>1.2923076923076922</v>
      </c>
      <c r="L32" s="153">
        <v>68</v>
      </c>
      <c r="M32" s="151">
        <v>440.69230769230768</v>
      </c>
      <c r="O32" s="154">
        <f t="shared" si="0"/>
        <v>408</v>
      </c>
      <c r="P32" s="154">
        <f t="shared" si="1"/>
        <v>61.199999999999996</v>
      </c>
      <c r="Q32" s="155">
        <f t="shared" si="2"/>
        <v>469.2</v>
      </c>
    </row>
    <row r="33" spans="1:17" ht="15">
      <c r="A33" s="149">
        <v>85223</v>
      </c>
      <c r="B33" s="149" t="s">
        <v>564</v>
      </c>
      <c r="C33" s="149" t="s">
        <v>157</v>
      </c>
      <c r="D33" s="149" t="s">
        <v>85</v>
      </c>
      <c r="E33" s="149">
        <v>891215</v>
      </c>
      <c r="F33" s="150" t="s">
        <v>409</v>
      </c>
      <c r="G33" s="277">
        <v>6</v>
      </c>
      <c r="H33" s="277">
        <v>6</v>
      </c>
      <c r="I33" s="277">
        <v>24</v>
      </c>
      <c r="J33" s="151">
        <v>12005</v>
      </c>
      <c r="K33" s="152">
        <v>0.78153846153846152</v>
      </c>
      <c r="L33" s="153">
        <v>1715</v>
      </c>
      <c r="M33" s="151">
        <v>11444.326923076924</v>
      </c>
      <c r="O33" s="154">
        <f t="shared" si="0"/>
        <v>10290</v>
      </c>
      <c r="P33" s="154">
        <f t="shared" si="1"/>
        <v>1543.5</v>
      </c>
      <c r="Q33" s="155">
        <f t="shared" si="2"/>
        <v>11833.5</v>
      </c>
    </row>
    <row r="34" spans="1:17" ht="15">
      <c r="A34" s="149">
        <v>85223</v>
      </c>
      <c r="B34" s="149" t="s">
        <v>564</v>
      </c>
      <c r="C34" s="149" t="s">
        <v>158</v>
      </c>
      <c r="D34" s="149" t="s">
        <v>85</v>
      </c>
      <c r="E34" s="149">
        <v>891216</v>
      </c>
      <c r="F34" s="150" t="s">
        <v>411</v>
      </c>
      <c r="G34" s="277">
        <v>6</v>
      </c>
      <c r="H34" s="277">
        <v>6</v>
      </c>
      <c r="I34" s="277">
        <v>24</v>
      </c>
      <c r="J34" s="151">
        <v>340.00000000000006</v>
      </c>
      <c r="K34" s="152">
        <v>2.3723076923076918</v>
      </c>
      <c r="L34" s="153">
        <v>68</v>
      </c>
      <c r="M34" s="151">
        <v>440.69230769230768</v>
      </c>
      <c r="O34" s="154">
        <f t="shared" si="0"/>
        <v>408</v>
      </c>
      <c r="P34" s="154">
        <f t="shared" si="1"/>
        <v>61.199999999999996</v>
      </c>
      <c r="Q34" s="155">
        <f t="shared" si="2"/>
        <v>469.2</v>
      </c>
    </row>
    <row r="35" spans="1:17" ht="15">
      <c r="A35" s="149">
        <v>85223</v>
      </c>
      <c r="B35" s="149" t="s">
        <v>564</v>
      </c>
      <c r="C35" s="149" t="s">
        <v>159</v>
      </c>
      <c r="D35" s="149" t="s">
        <v>85</v>
      </c>
      <c r="E35" s="149">
        <v>891217</v>
      </c>
      <c r="F35" s="150" t="s">
        <v>413</v>
      </c>
      <c r="G35" s="277">
        <v>6</v>
      </c>
      <c r="H35" s="277">
        <v>6</v>
      </c>
      <c r="I35" s="277">
        <v>24</v>
      </c>
      <c r="J35" s="151">
        <v>340.00000000000006</v>
      </c>
      <c r="K35" s="152">
        <v>2.3723076923076918</v>
      </c>
      <c r="L35" s="153">
        <v>68</v>
      </c>
      <c r="M35" s="151">
        <v>440.69230769230768</v>
      </c>
      <c r="O35" s="154">
        <f t="shared" si="0"/>
        <v>408</v>
      </c>
      <c r="P35" s="154">
        <f t="shared" si="1"/>
        <v>61.199999999999996</v>
      </c>
      <c r="Q35" s="155">
        <f t="shared" si="2"/>
        <v>469.2</v>
      </c>
    </row>
    <row r="36" spans="1:17" ht="15">
      <c r="A36" s="149">
        <v>85223</v>
      </c>
      <c r="B36" s="149" t="s">
        <v>564</v>
      </c>
      <c r="C36" s="149" t="s">
        <v>178</v>
      </c>
      <c r="D36" s="149" t="s">
        <v>85</v>
      </c>
      <c r="E36" s="149">
        <v>891218</v>
      </c>
      <c r="F36" s="150" t="s">
        <v>496</v>
      </c>
      <c r="G36" s="277">
        <v>6</v>
      </c>
      <c r="H36" s="277">
        <v>6</v>
      </c>
      <c r="I36" s="277">
        <v>24</v>
      </c>
      <c r="J36" s="151">
        <v>2800</v>
      </c>
      <c r="K36" s="152">
        <v>0.6</v>
      </c>
      <c r="L36" s="153">
        <v>280</v>
      </c>
      <c r="M36" s="151">
        <v>1949.2307692307693</v>
      </c>
      <c r="O36" s="154">
        <f t="shared" si="0"/>
        <v>1680</v>
      </c>
      <c r="P36" s="154">
        <f t="shared" si="1"/>
        <v>252</v>
      </c>
      <c r="Q36" s="155">
        <f t="shared" si="2"/>
        <v>1932</v>
      </c>
    </row>
    <row r="37" spans="1:17" ht="15">
      <c r="A37" s="149">
        <v>85223</v>
      </c>
      <c r="B37" s="149" t="s">
        <v>564</v>
      </c>
      <c r="C37" s="149" t="s">
        <v>182</v>
      </c>
      <c r="D37" s="149" t="s">
        <v>85</v>
      </c>
      <c r="E37" s="149">
        <v>891219</v>
      </c>
      <c r="F37" s="150" t="s">
        <v>503</v>
      </c>
      <c r="G37" s="277">
        <v>6</v>
      </c>
      <c r="H37" s="277">
        <v>6</v>
      </c>
      <c r="I37" s="277">
        <v>24</v>
      </c>
      <c r="J37" s="151">
        <v>340.00000000000006</v>
      </c>
      <c r="K37" s="152">
        <v>2.2261538461538457</v>
      </c>
      <c r="L37" s="153">
        <v>68</v>
      </c>
      <c r="M37" s="151">
        <v>440.69230769230768</v>
      </c>
      <c r="O37" s="154">
        <f t="shared" si="0"/>
        <v>408</v>
      </c>
      <c r="P37" s="154">
        <f t="shared" si="1"/>
        <v>61.199999999999996</v>
      </c>
      <c r="Q37" s="155">
        <f t="shared" si="2"/>
        <v>469.2</v>
      </c>
    </row>
    <row r="38" spans="1:17" ht="15">
      <c r="A38" s="149">
        <v>85223</v>
      </c>
      <c r="B38" s="149" t="s">
        <v>564</v>
      </c>
      <c r="C38" s="156" t="s">
        <v>183</v>
      </c>
      <c r="D38" s="149" t="s">
        <v>85</v>
      </c>
      <c r="E38" s="156">
        <v>891220</v>
      </c>
      <c r="F38" s="157" t="s">
        <v>732</v>
      </c>
      <c r="G38" s="277">
        <v>6</v>
      </c>
      <c r="H38" s="277">
        <v>6</v>
      </c>
      <c r="I38" s="277">
        <v>24</v>
      </c>
      <c r="J38" s="151">
        <v>340.00000000000006</v>
      </c>
      <c r="K38" s="152">
        <v>2.2261538461538457</v>
      </c>
      <c r="L38" s="153">
        <v>68</v>
      </c>
      <c r="M38" s="151">
        <v>440.69230769230768</v>
      </c>
      <c r="O38" s="154">
        <f t="shared" si="0"/>
        <v>408</v>
      </c>
      <c r="P38" s="154">
        <f t="shared" si="1"/>
        <v>61.199999999999996</v>
      </c>
      <c r="Q38" s="155">
        <f t="shared" si="2"/>
        <v>469.2</v>
      </c>
    </row>
    <row r="39" spans="1:17" ht="15">
      <c r="A39" s="149">
        <v>85223</v>
      </c>
      <c r="B39" s="149" t="s">
        <v>564</v>
      </c>
      <c r="C39" s="149" t="s">
        <v>188</v>
      </c>
      <c r="D39" s="149" t="s">
        <v>85</v>
      </c>
      <c r="E39" s="149">
        <v>891222</v>
      </c>
      <c r="F39" s="150" t="s">
        <v>512</v>
      </c>
      <c r="G39" s="277">
        <v>6</v>
      </c>
      <c r="H39" s="277">
        <v>6</v>
      </c>
      <c r="I39" s="277">
        <v>24</v>
      </c>
      <c r="J39" s="151">
        <v>340.00000000000006</v>
      </c>
      <c r="K39" s="152">
        <v>0.64615384615384608</v>
      </c>
      <c r="L39" s="153">
        <v>68</v>
      </c>
      <c r="M39" s="151">
        <v>440.69230769230768</v>
      </c>
      <c r="O39" s="154">
        <f t="shared" si="0"/>
        <v>408</v>
      </c>
      <c r="P39" s="154">
        <f t="shared" si="1"/>
        <v>61.199999999999996</v>
      </c>
      <c r="Q39" s="155">
        <f t="shared" si="2"/>
        <v>469.2</v>
      </c>
    </row>
    <row r="40" spans="1:17" ht="15">
      <c r="A40" s="149">
        <v>85223</v>
      </c>
      <c r="B40" s="149" t="s">
        <v>564</v>
      </c>
      <c r="C40" s="149" t="s">
        <v>193</v>
      </c>
      <c r="D40" s="149" t="s">
        <v>85</v>
      </c>
      <c r="E40" s="149" t="s">
        <v>807</v>
      </c>
      <c r="F40" s="146" t="s">
        <v>522</v>
      </c>
      <c r="G40" s="277">
        <v>6</v>
      </c>
      <c r="H40" s="277">
        <v>6</v>
      </c>
      <c r="I40" s="277">
        <v>24</v>
      </c>
      <c r="J40" s="151">
        <v>17150</v>
      </c>
      <c r="K40" s="152">
        <v>0.32</v>
      </c>
      <c r="L40" s="153">
        <v>1715</v>
      </c>
      <c r="M40" s="151">
        <v>11939.038461538461</v>
      </c>
      <c r="O40" s="154">
        <f t="shared" si="0"/>
        <v>10290</v>
      </c>
      <c r="P40" s="154">
        <f t="shared" si="1"/>
        <v>1543.5</v>
      </c>
      <c r="Q40" s="155">
        <f t="shared" si="2"/>
        <v>11833.5</v>
      </c>
    </row>
    <row r="41" spans="1:17" ht="15">
      <c r="A41" s="149">
        <v>85223</v>
      </c>
      <c r="B41" s="149" t="s">
        <v>564</v>
      </c>
      <c r="C41" s="149" t="s">
        <v>195</v>
      </c>
      <c r="D41" s="149" t="s">
        <v>85</v>
      </c>
      <c r="E41" s="149" t="s">
        <v>808</v>
      </c>
      <c r="F41" s="146" t="s">
        <v>645</v>
      </c>
      <c r="G41" s="277">
        <v>6</v>
      </c>
      <c r="H41" s="277">
        <v>6</v>
      </c>
      <c r="I41" s="277">
        <v>24</v>
      </c>
      <c r="J41" s="151">
        <v>12792</v>
      </c>
      <c r="K41" s="152">
        <v>2.12</v>
      </c>
      <c r="L41" s="153">
        <v>1599</v>
      </c>
      <c r="M41" s="151">
        <v>10824</v>
      </c>
      <c r="O41" s="154">
        <f t="shared" si="0"/>
        <v>9594</v>
      </c>
      <c r="P41" s="154">
        <f t="shared" si="1"/>
        <v>1439.1</v>
      </c>
      <c r="Q41" s="155">
        <f t="shared" si="2"/>
        <v>11033.1</v>
      </c>
    </row>
    <row r="42" spans="1:17" ht="15">
      <c r="A42" s="149">
        <v>85223</v>
      </c>
      <c r="B42" s="149" t="s">
        <v>564</v>
      </c>
      <c r="C42" s="149" t="s">
        <v>134</v>
      </c>
      <c r="D42" s="149" t="s">
        <v>85</v>
      </c>
      <c r="E42" s="149">
        <v>891227</v>
      </c>
      <c r="F42" s="150" t="s">
        <v>349</v>
      </c>
      <c r="G42" s="277">
        <v>6</v>
      </c>
      <c r="H42" s="277">
        <v>6</v>
      </c>
      <c r="I42" s="277">
        <v>24</v>
      </c>
      <c r="J42" s="151">
        <v>680.00000000000011</v>
      </c>
      <c r="K42" s="152">
        <v>1.7538461538461536</v>
      </c>
      <c r="L42" s="153">
        <v>68</v>
      </c>
      <c r="M42" s="151">
        <v>473.38461538461536</v>
      </c>
      <c r="O42" s="154">
        <f t="shared" si="0"/>
        <v>408</v>
      </c>
      <c r="P42" s="154">
        <f t="shared" si="1"/>
        <v>61.199999999999996</v>
      </c>
      <c r="Q42" s="155">
        <f t="shared" si="2"/>
        <v>469.2</v>
      </c>
    </row>
    <row r="43" spans="1:17" ht="15">
      <c r="A43" s="149">
        <v>85223</v>
      </c>
      <c r="B43" s="149" t="s">
        <v>564</v>
      </c>
      <c r="C43" s="149" t="s">
        <v>185</v>
      </c>
      <c r="D43" s="149" t="s">
        <v>85</v>
      </c>
      <c r="E43" s="149">
        <v>891229</v>
      </c>
      <c r="F43" s="150" t="s">
        <v>508</v>
      </c>
      <c r="G43" s="277" t="s">
        <v>335</v>
      </c>
      <c r="H43" s="277">
        <v>1</v>
      </c>
      <c r="I43" s="277">
        <v>6</v>
      </c>
      <c r="J43" s="151">
        <v>340.00000000000006</v>
      </c>
      <c r="K43" s="152">
        <v>12.138461538461538</v>
      </c>
      <c r="L43" s="153">
        <v>68</v>
      </c>
      <c r="M43" s="151">
        <v>168.69230769230768</v>
      </c>
      <c r="O43" s="154">
        <f t="shared" si="0"/>
        <v>68</v>
      </c>
      <c r="P43" s="154">
        <f t="shared" si="1"/>
        <v>10.199999999999999</v>
      </c>
      <c r="Q43" s="155">
        <f t="shared" si="2"/>
        <v>78.2</v>
      </c>
    </row>
    <row r="44" spans="1:17" ht="15">
      <c r="A44" s="149">
        <v>85223</v>
      </c>
      <c r="B44" s="149" t="s">
        <v>564</v>
      </c>
      <c r="C44" s="149" t="s">
        <v>74</v>
      </c>
      <c r="D44" s="149" t="s">
        <v>85</v>
      </c>
      <c r="E44" s="149">
        <v>891230</v>
      </c>
      <c r="F44" s="146" t="s">
        <v>208</v>
      </c>
      <c r="G44" s="277">
        <v>3</v>
      </c>
      <c r="H44" s="277">
        <v>4</v>
      </c>
      <c r="I44" s="277">
        <v>18</v>
      </c>
      <c r="J44" s="151">
        <v>13720.000000000002</v>
      </c>
      <c r="K44" s="152">
        <v>1.0724615384615384</v>
      </c>
      <c r="L44" s="153">
        <v>1715</v>
      </c>
      <c r="M44" s="151">
        <v>8179.2307692307695</v>
      </c>
      <c r="O44" s="154">
        <f t="shared" si="0"/>
        <v>6860</v>
      </c>
      <c r="P44" s="154">
        <f t="shared" si="1"/>
        <v>1029</v>
      </c>
      <c r="Q44" s="155">
        <f t="shared" si="2"/>
        <v>7889</v>
      </c>
    </row>
    <row r="45" spans="1:17" ht="15">
      <c r="A45" s="149">
        <v>85223</v>
      </c>
      <c r="B45" s="149" t="s">
        <v>564</v>
      </c>
      <c r="C45" s="149" t="s">
        <v>138</v>
      </c>
      <c r="D45" s="149" t="s">
        <v>85</v>
      </c>
      <c r="E45" s="149">
        <v>891231</v>
      </c>
      <c r="F45" s="146" t="s">
        <v>360</v>
      </c>
      <c r="G45" s="277">
        <v>3</v>
      </c>
      <c r="H45" s="277">
        <v>4</v>
      </c>
      <c r="I45" s="277">
        <v>18</v>
      </c>
      <c r="J45" s="151">
        <v>18865</v>
      </c>
      <c r="K45" s="152">
        <v>1.3407692307692307</v>
      </c>
      <c r="L45" s="153">
        <v>1715</v>
      </c>
      <c r="M45" s="151">
        <v>8673.9423076923085</v>
      </c>
      <c r="O45" s="154">
        <f t="shared" si="0"/>
        <v>6860</v>
      </c>
      <c r="P45" s="154">
        <f t="shared" si="1"/>
        <v>1029</v>
      </c>
      <c r="Q45" s="155">
        <f t="shared" si="2"/>
        <v>7889</v>
      </c>
    </row>
    <row r="46" spans="1:17" ht="15">
      <c r="A46" s="149">
        <v>85223</v>
      </c>
      <c r="B46" s="149" t="s">
        <v>564</v>
      </c>
      <c r="C46" s="149" t="s">
        <v>168</v>
      </c>
      <c r="D46" s="149" t="s">
        <v>85</v>
      </c>
      <c r="E46" s="149">
        <v>891232</v>
      </c>
      <c r="F46" s="150" t="s">
        <v>447</v>
      </c>
      <c r="G46" s="277">
        <v>3</v>
      </c>
      <c r="H46" s="277">
        <v>4</v>
      </c>
      <c r="I46" s="277">
        <v>18</v>
      </c>
      <c r="J46" s="151">
        <v>12024.000000000002</v>
      </c>
      <c r="K46" s="152">
        <v>1.0769230769230769</v>
      </c>
      <c r="L46" s="153">
        <v>1503</v>
      </c>
      <c r="M46" s="151">
        <v>7168.1538461538457</v>
      </c>
      <c r="O46" s="154">
        <f t="shared" si="0"/>
        <v>6012</v>
      </c>
      <c r="P46" s="154">
        <f t="shared" si="1"/>
        <v>901.8</v>
      </c>
      <c r="Q46" s="155">
        <f t="shared" si="2"/>
        <v>6913.8</v>
      </c>
    </row>
    <row r="47" spans="1:17" ht="15">
      <c r="A47" s="149">
        <v>85223</v>
      </c>
      <c r="B47" s="149" t="s">
        <v>564</v>
      </c>
      <c r="C47" s="149" t="s">
        <v>133</v>
      </c>
      <c r="D47" s="149" t="s">
        <v>85</v>
      </c>
      <c r="E47" s="149">
        <v>891237</v>
      </c>
      <c r="F47" s="150" t="s">
        <v>347</v>
      </c>
      <c r="G47" s="277">
        <v>6</v>
      </c>
      <c r="H47" s="277">
        <v>6</v>
      </c>
      <c r="I47" s="277">
        <v>24</v>
      </c>
      <c r="J47" s="151">
        <v>408</v>
      </c>
      <c r="K47" s="152">
        <v>1.5740000000000001</v>
      </c>
      <c r="L47" s="153">
        <v>68</v>
      </c>
      <c r="M47" s="151">
        <v>447.23076923076923</v>
      </c>
      <c r="O47" s="154">
        <f t="shared" si="0"/>
        <v>408</v>
      </c>
      <c r="P47" s="154">
        <f t="shared" si="1"/>
        <v>61.199999999999996</v>
      </c>
      <c r="Q47" s="155">
        <f t="shared" si="2"/>
        <v>469.2</v>
      </c>
    </row>
    <row r="48" spans="1:17" ht="15">
      <c r="A48" s="149">
        <v>85223</v>
      </c>
      <c r="B48" s="149" t="s">
        <v>564</v>
      </c>
      <c r="C48" s="149" t="s">
        <v>136</v>
      </c>
      <c r="D48" s="149" t="s">
        <v>85</v>
      </c>
      <c r="E48" s="149">
        <v>891238</v>
      </c>
      <c r="F48" s="150" t="s">
        <v>355</v>
      </c>
      <c r="G48" s="277">
        <v>4</v>
      </c>
      <c r="H48" s="277">
        <v>4</v>
      </c>
      <c r="I48" s="277">
        <v>16</v>
      </c>
      <c r="J48" s="151">
        <v>1472.0000000000002</v>
      </c>
      <c r="K48" s="152">
        <v>1.4461538461538461</v>
      </c>
      <c r="L48" s="153">
        <v>184</v>
      </c>
      <c r="M48" s="151">
        <v>877.53846153846155</v>
      </c>
      <c r="O48" s="154">
        <f t="shared" si="0"/>
        <v>736</v>
      </c>
      <c r="P48" s="154">
        <f t="shared" si="1"/>
        <v>110.39999999999999</v>
      </c>
      <c r="Q48" s="155">
        <f t="shared" si="2"/>
        <v>846.4</v>
      </c>
    </row>
    <row r="49" spans="1:17" ht="15">
      <c r="A49" s="149">
        <v>85223</v>
      </c>
      <c r="B49" s="149" t="s">
        <v>564</v>
      </c>
      <c r="C49" s="149" t="s">
        <v>160</v>
      </c>
      <c r="D49" s="149" t="s">
        <v>85</v>
      </c>
      <c r="E49" s="149">
        <v>891239</v>
      </c>
      <c r="F49" s="150" t="s">
        <v>415</v>
      </c>
      <c r="G49" s="277">
        <v>4</v>
      </c>
      <c r="H49" s="277">
        <v>4</v>
      </c>
      <c r="I49" s="277">
        <v>16</v>
      </c>
      <c r="J49" s="151">
        <v>920</v>
      </c>
      <c r="K49" s="152">
        <v>3.2170769230769229</v>
      </c>
      <c r="L49" s="153">
        <v>184</v>
      </c>
      <c r="M49" s="151">
        <v>824.46153846153845</v>
      </c>
      <c r="O49" s="154">
        <f t="shared" si="0"/>
        <v>736</v>
      </c>
      <c r="P49" s="154">
        <f t="shared" si="1"/>
        <v>110.39999999999999</v>
      </c>
      <c r="Q49" s="155">
        <f t="shared" si="2"/>
        <v>846.4</v>
      </c>
    </row>
    <row r="50" spans="1:17" ht="15">
      <c r="A50" s="149">
        <v>85223</v>
      </c>
      <c r="B50" s="149" t="s">
        <v>564</v>
      </c>
      <c r="C50" s="149" t="s">
        <v>91</v>
      </c>
      <c r="D50" s="149" t="s">
        <v>85</v>
      </c>
      <c r="E50" s="149">
        <v>891241</v>
      </c>
      <c r="F50" s="146" t="s">
        <v>238</v>
      </c>
      <c r="G50" s="277">
        <v>6</v>
      </c>
      <c r="H50" s="277">
        <v>3</v>
      </c>
      <c r="I50" s="277">
        <v>24</v>
      </c>
      <c r="J50" s="151">
        <v>2208.0000000000005</v>
      </c>
      <c r="K50" s="152">
        <v>5.77</v>
      </c>
      <c r="L50" s="153">
        <v>182</v>
      </c>
      <c r="M50" s="151">
        <v>1104</v>
      </c>
      <c r="O50" s="154">
        <f t="shared" si="0"/>
        <v>546</v>
      </c>
      <c r="P50" s="154">
        <f t="shared" si="1"/>
        <v>81.899999999999991</v>
      </c>
      <c r="Q50" s="155">
        <f t="shared" si="2"/>
        <v>627.9</v>
      </c>
    </row>
    <row r="51" spans="1:17" ht="15">
      <c r="A51" s="149">
        <v>85223</v>
      </c>
      <c r="B51" s="149" t="s">
        <v>564</v>
      </c>
      <c r="C51" s="149" t="s">
        <v>99</v>
      </c>
      <c r="D51" s="149" t="s">
        <v>85</v>
      </c>
      <c r="E51" s="149">
        <v>891243</v>
      </c>
      <c r="F51" s="146" t="s">
        <v>262</v>
      </c>
      <c r="G51" s="277">
        <v>6</v>
      </c>
      <c r="H51" s="277">
        <v>3</v>
      </c>
      <c r="I51" s="277">
        <v>24</v>
      </c>
      <c r="J51" s="151">
        <v>2208.0000000000005</v>
      </c>
      <c r="K51" s="152">
        <v>3.8</v>
      </c>
      <c r="L51" s="153">
        <v>182</v>
      </c>
      <c r="M51" s="151">
        <v>1104</v>
      </c>
      <c r="O51" s="154">
        <f t="shared" si="0"/>
        <v>546</v>
      </c>
      <c r="P51" s="154">
        <f t="shared" si="1"/>
        <v>81.899999999999991</v>
      </c>
      <c r="Q51" s="155">
        <f t="shared" si="2"/>
        <v>627.9</v>
      </c>
    </row>
    <row r="52" spans="1:17" ht="15">
      <c r="A52" s="149">
        <v>85223</v>
      </c>
      <c r="B52" s="149" t="s">
        <v>564</v>
      </c>
      <c r="C52" s="149" t="s">
        <v>101</v>
      </c>
      <c r="D52" s="149" t="s">
        <v>85</v>
      </c>
      <c r="E52" s="149">
        <v>891244</v>
      </c>
      <c r="F52" s="146" t="s">
        <v>264</v>
      </c>
      <c r="G52" s="277">
        <v>6</v>
      </c>
      <c r="H52" s="277">
        <v>3</v>
      </c>
      <c r="I52" s="277">
        <v>24</v>
      </c>
      <c r="J52" s="151">
        <v>1472.0000000000002</v>
      </c>
      <c r="K52" s="152">
        <v>3.73</v>
      </c>
      <c r="L52" s="153">
        <v>182</v>
      </c>
      <c r="M52" s="151">
        <v>694</v>
      </c>
      <c r="O52" s="154">
        <f t="shared" si="0"/>
        <v>546</v>
      </c>
      <c r="P52" s="154">
        <f t="shared" si="1"/>
        <v>81.899999999999991</v>
      </c>
      <c r="Q52" s="155">
        <f t="shared" si="2"/>
        <v>627.9</v>
      </c>
    </row>
    <row r="53" spans="1:17" ht="15">
      <c r="A53" s="149">
        <v>85223</v>
      </c>
      <c r="B53" s="149" t="s">
        <v>564</v>
      </c>
      <c r="C53" s="149" t="s">
        <v>132</v>
      </c>
      <c r="D53" s="149" t="s">
        <v>85</v>
      </c>
      <c r="E53" s="149">
        <v>891245</v>
      </c>
      <c r="F53" s="146" t="s">
        <v>345</v>
      </c>
      <c r="G53" s="277">
        <v>4</v>
      </c>
      <c r="H53" s="277">
        <v>4</v>
      </c>
      <c r="I53" s="277">
        <v>16</v>
      </c>
      <c r="J53" s="151">
        <v>20580</v>
      </c>
      <c r="K53" s="152">
        <v>1.1692307692307693</v>
      </c>
      <c r="L53" s="153">
        <v>1715</v>
      </c>
      <c r="M53" s="151">
        <v>8838.8461538461543</v>
      </c>
      <c r="O53" s="154">
        <f t="shared" si="0"/>
        <v>6860</v>
      </c>
      <c r="P53" s="154">
        <f t="shared" si="1"/>
        <v>1029</v>
      </c>
      <c r="Q53" s="155">
        <f t="shared" si="2"/>
        <v>7889</v>
      </c>
    </row>
    <row r="54" spans="1:17" ht="15">
      <c r="A54" s="149">
        <v>85223</v>
      </c>
      <c r="B54" s="149" t="s">
        <v>564</v>
      </c>
      <c r="C54" s="149" t="s">
        <v>83</v>
      </c>
      <c r="D54" s="149" t="s">
        <v>85</v>
      </c>
      <c r="E54" s="149">
        <v>891246</v>
      </c>
      <c r="F54" s="150" t="s">
        <v>216</v>
      </c>
      <c r="G54" s="277">
        <v>6</v>
      </c>
      <c r="H54" s="277">
        <v>8</v>
      </c>
      <c r="I54" s="277">
        <v>24</v>
      </c>
      <c r="J54" s="151">
        <v>28782</v>
      </c>
      <c r="K54" s="152">
        <v>0.83076923076923082</v>
      </c>
      <c r="L54" s="153">
        <v>1599</v>
      </c>
      <c r="M54" s="151">
        <v>15559.5</v>
      </c>
      <c r="O54" s="154">
        <f t="shared" si="0"/>
        <v>12792</v>
      </c>
      <c r="P54" s="154">
        <f t="shared" si="1"/>
        <v>1918.8</v>
      </c>
      <c r="Q54" s="155">
        <f t="shared" si="2"/>
        <v>14710.8</v>
      </c>
    </row>
    <row r="55" spans="1:17" ht="15">
      <c r="A55" s="149">
        <v>85223</v>
      </c>
      <c r="B55" s="149" t="s">
        <v>564</v>
      </c>
      <c r="C55" s="149" t="s">
        <v>127</v>
      </c>
      <c r="D55" s="149" t="s">
        <v>85</v>
      </c>
      <c r="E55" s="149">
        <v>891247</v>
      </c>
      <c r="F55" s="150" t="s">
        <v>331</v>
      </c>
      <c r="G55" s="277" t="s">
        <v>335</v>
      </c>
      <c r="H55" s="277">
        <v>3</v>
      </c>
      <c r="I55" s="277">
        <v>6</v>
      </c>
      <c r="J55" s="151">
        <v>2800</v>
      </c>
      <c r="K55" s="152">
        <v>6.9999999999999991</v>
      </c>
      <c r="L55" s="153">
        <v>280</v>
      </c>
      <c r="M55" s="151">
        <v>1680</v>
      </c>
      <c r="O55" s="154">
        <f t="shared" si="0"/>
        <v>840</v>
      </c>
      <c r="P55" s="154">
        <f t="shared" si="1"/>
        <v>126</v>
      </c>
      <c r="Q55" s="155">
        <f t="shared" si="2"/>
        <v>966</v>
      </c>
    </row>
    <row r="56" spans="1:17" ht="15">
      <c r="A56" s="149">
        <v>85223</v>
      </c>
      <c r="B56" s="149" t="s">
        <v>564</v>
      </c>
      <c r="C56" s="149" t="s">
        <v>150</v>
      </c>
      <c r="D56" s="149" t="s">
        <v>85</v>
      </c>
      <c r="E56" s="149" t="s">
        <v>809</v>
      </c>
      <c r="F56" s="146" t="s">
        <v>394</v>
      </c>
      <c r="G56" s="277">
        <v>6</v>
      </c>
      <c r="H56" s="277">
        <v>3</v>
      </c>
      <c r="I56" s="277">
        <v>24</v>
      </c>
      <c r="J56" s="151">
        <v>19188</v>
      </c>
      <c r="K56" s="152">
        <v>4.22</v>
      </c>
      <c r="L56" s="153">
        <v>1599</v>
      </c>
      <c r="M56" s="151">
        <v>9594</v>
      </c>
      <c r="O56" s="154">
        <f t="shared" si="0"/>
        <v>4797</v>
      </c>
      <c r="P56" s="154">
        <f t="shared" si="1"/>
        <v>719.55</v>
      </c>
      <c r="Q56" s="155">
        <f t="shared" si="2"/>
        <v>5516.55</v>
      </c>
    </row>
    <row r="57" spans="1:17" ht="15">
      <c r="A57" s="149">
        <v>85223</v>
      </c>
      <c r="B57" s="149" t="s">
        <v>564</v>
      </c>
      <c r="C57" s="149" t="s">
        <v>103</v>
      </c>
      <c r="D57" s="149" t="s">
        <v>85</v>
      </c>
      <c r="E57" s="149">
        <v>891252</v>
      </c>
      <c r="F57" s="150" t="s">
        <v>266</v>
      </c>
      <c r="G57" s="277">
        <v>3</v>
      </c>
      <c r="H57" s="277">
        <v>3</v>
      </c>
      <c r="I57" s="277">
        <v>48</v>
      </c>
      <c r="J57" s="151">
        <v>9594</v>
      </c>
      <c r="K57" s="152">
        <v>4.6307692307692303</v>
      </c>
      <c r="L57" s="153">
        <v>1599</v>
      </c>
      <c r="M57" s="151">
        <v>5719.5</v>
      </c>
      <c r="O57" s="154">
        <f t="shared" si="0"/>
        <v>4797</v>
      </c>
      <c r="P57" s="154">
        <f t="shared" si="1"/>
        <v>719.55</v>
      </c>
      <c r="Q57" s="155">
        <f t="shared" si="2"/>
        <v>5516.55</v>
      </c>
    </row>
    <row r="58" spans="1:17" ht="15">
      <c r="A58" s="149">
        <v>85223</v>
      </c>
      <c r="B58" s="149" t="s">
        <v>564</v>
      </c>
      <c r="C58" s="149" t="s">
        <v>126</v>
      </c>
      <c r="D58" s="149" t="s">
        <v>85</v>
      </c>
      <c r="E58" s="149">
        <v>891257</v>
      </c>
      <c r="F58" s="150" t="s">
        <v>326</v>
      </c>
      <c r="G58" s="277" t="s">
        <v>335</v>
      </c>
      <c r="H58" s="277">
        <v>6</v>
      </c>
      <c r="I58" s="277">
        <v>12</v>
      </c>
      <c r="J58" s="151">
        <v>544</v>
      </c>
      <c r="K58" s="152">
        <v>4.3538461538461535</v>
      </c>
      <c r="L58" s="153">
        <v>68</v>
      </c>
      <c r="M58" s="151">
        <v>460.30769230769232</v>
      </c>
      <c r="O58" s="154">
        <f t="shared" si="0"/>
        <v>408</v>
      </c>
      <c r="P58" s="154">
        <f t="shared" si="1"/>
        <v>61.199999999999996</v>
      </c>
      <c r="Q58" s="155">
        <f t="shared" si="2"/>
        <v>469.2</v>
      </c>
    </row>
    <row r="59" spans="1:17" ht="15">
      <c r="A59" s="149">
        <v>85223</v>
      </c>
      <c r="B59" s="149" t="s">
        <v>564</v>
      </c>
      <c r="C59" s="149" t="s">
        <v>129</v>
      </c>
      <c r="D59" s="149" t="s">
        <v>85</v>
      </c>
      <c r="E59" s="149">
        <v>891258</v>
      </c>
      <c r="F59" s="150" t="s">
        <v>339</v>
      </c>
      <c r="G59" s="277">
        <v>6</v>
      </c>
      <c r="H59" s="277">
        <v>6</v>
      </c>
      <c r="I59" s="277">
        <v>24</v>
      </c>
      <c r="J59" s="151">
        <v>1104.0000000000002</v>
      </c>
      <c r="K59" s="152">
        <v>1.7999999999999998</v>
      </c>
      <c r="L59" s="153">
        <v>184</v>
      </c>
      <c r="M59" s="151">
        <v>1210.1538461538462</v>
      </c>
      <c r="O59" s="154">
        <f t="shared" si="0"/>
        <v>1104</v>
      </c>
      <c r="P59" s="154">
        <f t="shared" si="1"/>
        <v>165.6</v>
      </c>
      <c r="Q59" s="155">
        <f t="shared" si="2"/>
        <v>1269.5999999999999</v>
      </c>
    </row>
    <row r="60" spans="1:17" ht="15">
      <c r="A60" s="149">
        <v>85223</v>
      </c>
      <c r="B60" s="149" t="s">
        <v>564</v>
      </c>
      <c r="C60" s="149" t="s">
        <v>89</v>
      </c>
      <c r="D60" s="149" t="s">
        <v>85</v>
      </c>
      <c r="E60" s="149">
        <v>891260</v>
      </c>
      <c r="F60" s="150" t="s">
        <v>221</v>
      </c>
      <c r="G60" s="277">
        <v>3</v>
      </c>
      <c r="H60" s="277">
        <v>4</v>
      </c>
      <c r="I60" s="277">
        <v>24</v>
      </c>
      <c r="J60" s="151">
        <v>11193</v>
      </c>
      <c r="K60" s="152">
        <v>2.1846153846153844</v>
      </c>
      <c r="L60" s="153">
        <v>1599</v>
      </c>
      <c r="M60" s="151">
        <v>7472.25</v>
      </c>
      <c r="O60" s="154">
        <f t="shared" si="0"/>
        <v>6396</v>
      </c>
      <c r="P60" s="154">
        <f t="shared" si="1"/>
        <v>959.4</v>
      </c>
      <c r="Q60" s="155">
        <f t="shared" si="2"/>
        <v>7355.4</v>
      </c>
    </row>
    <row r="61" spans="1:17" ht="15">
      <c r="A61" s="149">
        <v>85223</v>
      </c>
      <c r="B61" s="149" t="s">
        <v>564</v>
      </c>
      <c r="C61" s="149" t="s">
        <v>90</v>
      </c>
      <c r="D61" s="149" t="s">
        <v>85</v>
      </c>
      <c r="E61" s="149">
        <v>891261</v>
      </c>
      <c r="F61" s="150" t="s">
        <v>224</v>
      </c>
      <c r="G61" s="277">
        <v>3</v>
      </c>
      <c r="H61" s="277">
        <v>4</v>
      </c>
      <c r="I61" s="277">
        <v>24</v>
      </c>
      <c r="J61" s="151">
        <v>7995</v>
      </c>
      <c r="K61" s="152">
        <v>2.5999999999999996</v>
      </c>
      <c r="L61" s="153">
        <v>1599</v>
      </c>
      <c r="M61" s="151">
        <v>7164.75</v>
      </c>
      <c r="O61" s="154">
        <f t="shared" si="0"/>
        <v>6396</v>
      </c>
      <c r="P61" s="154">
        <f t="shared" si="1"/>
        <v>959.4</v>
      </c>
      <c r="Q61" s="155">
        <f t="shared" si="2"/>
        <v>7355.4</v>
      </c>
    </row>
    <row r="62" spans="1:17" ht="15">
      <c r="A62" s="149">
        <v>85223</v>
      </c>
      <c r="B62" s="149" t="s">
        <v>564</v>
      </c>
      <c r="C62" s="149" t="s">
        <v>137</v>
      </c>
      <c r="D62" s="149" t="s">
        <v>85</v>
      </c>
      <c r="E62" s="149">
        <v>891263</v>
      </c>
      <c r="F62" s="150" t="s">
        <v>357</v>
      </c>
      <c r="G62" s="277">
        <v>6</v>
      </c>
      <c r="H62" s="277">
        <v>6</v>
      </c>
      <c r="I62" s="277">
        <v>24</v>
      </c>
      <c r="J62" s="151">
        <v>340.00000000000006</v>
      </c>
      <c r="K62" s="152">
        <v>2.1230769230769226</v>
      </c>
      <c r="L62" s="153">
        <v>68</v>
      </c>
      <c r="M62" s="151">
        <v>440.69230769230768</v>
      </c>
      <c r="O62" s="154">
        <f t="shared" si="0"/>
        <v>408</v>
      </c>
      <c r="P62" s="154">
        <f t="shared" si="1"/>
        <v>61.199999999999996</v>
      </c>
      <c r="Q62" s="155">
        <f t="shared" si="2"/>
        <v>469.2</v>
      </c>
    </row>
    <row r="63" spans="1:17" ht="15">
      <c r="A63" s="149">
        <v>85223</v>
      </c>
      <c r="B63" s="149" t="s">
        <v>564</v>
      </c>
      <c r="C63" s="149" t="s">
        <v>139</v>
      </c>
      <c r="D63" s="149" t="s">
        <v>85</v>
      </c>
      <c r="E63" s="149">
        <v>891277</v>
      </c>
      <c r="F63" s="150" t="s">
        <v>362</v>
      </c>
      <c r="G63" s="277">
        <v>6</v>
      </c>
      <c r="H63" s="277">
        <v>6</v>
      </c>
      <c r="I63" s="277">
        <v>36</v>
      </c>
      <c r="J63" s="151">
        <v>15990</v>
      </c>
      <c r="K63" s="152">
        <v>1.2527692307692309</v>
      </c>
      <c r="L63" s="153">
        <v>1599</v>
      </c>
      <c r="M63" s="151">
        <v>11131.5</v>
      </c>
      <c r="O63" s="154">
        <f t="shared" si="0"/>
        <v>9594</v>
      </c>
      <c r="P63" s="154">
        <f t="shared" si="1"/>
        <v>1439.1</v>
      </c>
      <c r="Q63" s="155">
        <f t="shared" si="2"/>
        <v>11033.1</v>
      </c>
    </row>
    <row r="64" spans="1:17" ht="15">
      <c r="A64" s="149">
        <v>85223</v>
      </c>
      <c r="B64" s="149" t="s">
        <v>564</v>
      </c>
      <c r="C64" s="149" t="s">
        <v>125</v>
      </c>
      <c r="D64" s="149" t="s">
        <v>85</v>
      </c>
      <c r="E64" s="149">
        <v>891278</v>
      </c>
      <c r="F64" s="150" t="s">
        <v>324</v>
      </c>
      <c r="G64" s="277" t="s">
        <v>335</v>
      </c>
      <c r="H64" s="277">
        <v>2</v>
      </c>
      <c r="I64" s="277">
        <v>12</v>
      </c>
      <c r="J64" s="151">
        <v>7515</v>
      </c>
      <c r="K64" s="152">
        <v>6.384615384615385</v>
      </c>
      <c r="L64" s="153">
        <v>1503</v>
      </c>
      <c r="M64" s="151">
        <v>3728.5961538461538</v>
      </c>
      <c r="O64" s="154">
        <f t="shared" si="0"/>
        <v>3006</v>
      </c>
      <c r="P64" s="154">
        <f t="shared" si="1"/>
        <v>450.9</v>
      </c>
      <c r="Q64" s="155">
        <f t="shared" si="2"/>
        <v>3456.9</v>
      </c>
    </row>
    <row r="65" spans="1:17" ht="15">
      <c r="A65" s="149">
        <v>85223</v>
      </c>
      <c r="B65" s="149" t="s">
        <v>564</v>
      </c>
      <c r="C65" s="149" t="s">
        <v>124</v>
      </c>
      <c r="D65" s="149" t="s">
        <v>85</v>
      </c>
      <c r="E65" s="149">
        <v>891281</v>
      </c>
      <c r="F65" s="146" t="s">
        <v>322</v>
      </c>
      <c r="G65" s="277">
        <v>6</v>
      </c>
      <c r="H65" s="277">
        <v>3</v>
      </c>
      <c r="I65" s="277">
        <v>24</v>
      </c>
      <c r="J65" s="151">
        <v>17150</v>
      </c>
      <c r="K65" s="152">
        <v>2.0986153846153845</v>
      </c>
      <c r="L65" s="153">
        <v>1715</v>
      </c>
      <c r="M65" s="151">
        <v>10290</v>
      </c>
      <c r="O65" s="154">
        <f t="shared" si="0"/>
        <v>5145</v>
      </c>
      <c r="P65" s="154">
        <f t="shared" si="1"/>
        <v>771.75</v>
      </c>
      <c r="Q65" s="155">
        <f t="shared" si="2"/>
        <v>5916.75</v>
      </c>
    </row>
    <row r="66" spans="1:17" ht="15">
      <c r="A66" s="149">
        <v>85223</v>
      </c>
      <c r="B66" s="149" t="s">
        <v>564</v>
      </c>
      <c r="C66" s="149" t="s">
        <v>141</v>
      </c>
      <c r="D66" s="149" t="s">
        <v>85</v>
      </c>
      <c r="E66" s="149">
        <v>891282</v>
      </c>
      <c r="F66" s="150" t="s">
        <v>371</v>
      </c>
      <c r="G66" s="277">
        <v>6</v>
      </c>
      <c r="H66" s="277">
        <v>6</v>
      </c>
      <c r="I66" s="277">
        <v>24</v>
      </c>
      <c r="J66" s="151">
        <v>408</v>
      </c>
      <c r="K66" s="152">
        <v>1.0495384615384615</v>
      </c>
      <c r="L66" s="153">
        <v>68</v>
      </c>
      <c r="M66" s="151">
        <v>447.23076923076923</v>
      </c>
      <c r="O66" s="154">
        <f t="shared" si="0"/>
        <v>408</v>
      </c>
      <c r="P66" s="154">
        <f t="shared" si="1"/>
        <v>61.199999999999996</v>
      </c>
      <c r="Q66" s="155">
        <f t="shared" si="2"/>
        <v>469.2</v>
      </c>
    </row>
    <row r="67" spans="1:17" ht="15">
      <c r="A67" s="149">
        <v>85223</v>
      </c>
      <c r="B67" s="149" t="s">
        <v>564</v>
      </c>
      <c r="C67" s="149" t="s">
        <v>142</v>
      </c>
      <c r="D67" s="149" t="s">
        <v>85</v>
      </c>
      <c r="E67" s="149">
        <v>891283</v>
      </c>
      <c r="F67" s="150" t="s">
        <v>373</v>
      </c>
      <c r="G67" s="277">
        <v>6</v>
      </c>
      <c r="H67" s="277">
        <v>6</v>
      </c>
      <c r="I67" s="277">
        <v>24</v>
      </c>
      <c r="J67" s="151">
        <v>19188</v>
      </c>
      <c r="K67" s="152">
        <v>0.7886153846153845</v>
      </c>
      <c r="L67" s="153">
        <v>1599</v>
      </c>
      <c r="M67" s="151">
        <v>11439</v>
      </c>
      <c r="O67" s="154">
        <f t="shared" ref="O67:O99" si="3">L67*H67</f>
        <v>9594</v>
      </c>
      <c r="P67" s="154">
        <f t="shared" ref="P67:P99" si="4">O67*0.15</f>
        <v>1439.1</v>
      </c>
      <c r="Q67" s="155">
        <f t="shared" ref="Q67:Q99" si="5">P67+O67</f>
        <v>11033.1</v>
      </c>
    </row>
    <row r="68" spans="1:17" ht="15">
      <c r="A68" s="149">
        <v>85223</v>
      </c>
      <c r="B68" s="149" t="s">
        <v>564</v>
      </c>
      <c r="C68" s="149" t="s">
        <v>180</v>
      </c>
      <c r="D68" s="149" t="s">
        <v>85</v>
      </c>
      <c r="E68" s="149">
        <v>891284</v>
      </c>
      <c r="F68" s="150" t="s">
        <v>500</v>
      </c>
      <c r="G68" s="277">
        <v>3</v>
      </c>
      <c r="H68" s="277">
        <v>3</v>
      </c>
      <c r="I68" s="277">
        <v>24</v>
      </c>
      <c r="J68" s="151">
        <v>476</v>
      </c>
      <c r="K68" s="152">
        <v>2.2999999999999998</v>
      </c>
      <c r="L68" s="153">
        <v>68</v>
      </c>
      <c r="M68" s="151">
        <v>249.76923076923077</v>
      </c>
      <c r="O68" s="154">
        <f t="shared" si="3"/>
        <v>204</v>
      </c>
      <c r="P68" s="154">
        <f t="shared" si="4"/>
        <v>30.599999999999998</v>
      </c>
      <c r="Q68" s="155">
        <f t="shared" si="5"/>
        <v>234.6</v>
      </c>
    </row>
    <row r="69" spans="1:17" ht="15">
      <c r="A69" s="149">
        <v>85223</v>
      </c>
      <c r="B69" s="149" t="s">
        <v>564</v>
      </c>
      <c r="C69" s="149" t="s">
        <v>181</v>
      </c>
      <c r="D69" s="149" t="s">
        <v>85</v>
      </c>
      <c r="E69" s="149">
        <v>891285</v>
      </c>
      <c r="F69" s="150" t="s">
        <v>501</v>
      </c>
      <c r="G69" s="277">
        <v>3</v>
      </c>
      <c r="H69" s="277">
        <v>3</v>
      </c>
      <c r="I69" s="277">
        <v>24</v>
      </c>
      <c r="J69" s="151">
        <v>9018</v>
      </c>
      <c r="K69" s="152">
        <v>2.3884615384615384</v>
      </c>
      <c r="L69" s="153">
        <v>184</v>
      </c>
      <c r="M69" s="151">
        <v>2254.5</v>
      </c>
      <c r="O69" s="154">
        <f t="shared" si="3"/>
        <v>552</v>
      </c>
      <c r="P69" s="154">
        <f t="shared" si="4"/>
        <v>82.8</v>
      </c>
      <c r="Q69" s="155">
        <f t="shared" si="5"/>
        <v>634.79999999999995</v>
      </c>
    </row>
    <row r="70" spans="1:17" ht="15">
      <c r="A70" s="149">
        <v>85223</v>
      </c>
      <c r="B70" s="149" t="s">
        <v>564</v>
      </c>
      <c r="C70" s="149" t="s">
        <v>120</v>
      </c>
      <c r="D70" s="149" t="s">
        <v>85</v>
      </c>
      <c r="E70" s="149">
        <v>891287</v>
      </c>
      <c r="F70" s="150" t="s">
        <v>305</v>
      </c>
      <c r="G70" s="277">
        <v>6</v>
      </c>
      <c r="H70" s="277">
        <v>3</v>
      </c>
      <c r="I70" s="277">
        <v>48</v>
      </c>
      <c r="J70" s="151">
        <v>340.00000000000006</v>
      </c>
      <c r="K70" s="152">
        <v>2.2623076923076924</v>
      </c>
      <c r="L70" s="153">
        <v>68</v>
      </c>
      <c r="M70" s="151">
        <v>236.69230769230768</v>
      </c>
      <c r="O70" s="154">
        <f t="shared" si="3"/>
        <v>204</v>
      </c>
      <c r="P70" s="154">
        <f t="shared" si="4"/>
        <v>30.599999999999998</v>
      </c>
      <c r="Q70" s="155">
        <f t="shared" si="5"/>
        <v>234.6</v>
      </c>
    </row>
    <row r="71" spans="1:17" ht="15">
      <c r="A71" s="149">
        <v>85223</v>
      </c>
      <c r="B71" s="149" t="s">
        <v>564</v>
      </c>
      <c r="C71" s="149" t="s">
        <v>121</v>
      </c>
      <c r="D71" s="149" t="s">
        <v>85</v>
      </c>
      <c r="E71" s="149">
        <v>891290</v>
      </c>
      <c r="F71" s="150" t="s">
        <v>307</v>
      </c>
      <c r="G71" s="277">
        <v>6</v>
      </c>
      <c r="H71" s="277">
        <v>3</v>
      </c>
      <c r="I71" s="277">
        <v>48</v>
      </c>
      <c r="J71" s="151">
        <v>340.00000000000006</v>
      </c>
      <c r="K71" s="152">
        <v>1.4738461538461538</v>
      </c>
      <c r="L71" s="153">
        <v>68</v>
      </c>
      <c r="M71" s="151">
        <v>236.69230769230768</v>
      </c>
      <c r="O71" s="154">
        <f t="shared" si="3"/>
        <v>204</v>
      </c>
      <c r="P71" s="154">
        <f t="shared" si="4"/>
        <v>30.599999999999998</v>
      </c>
      <c r="Q71" s="155">
        <f t="shared" si="5"/>
        <v>234.6</v>
      </c>
    </row>
    <row r="72" spans="1:17" ht="15">
      <c r="A72" s="149">
        <v>85223</v>
      </c>
      <c r="B72" s="149" t="s">
        <v>564</v>
      </c>
      <c r="C72" s="149" t="s">
        <v>162</v>
      </c>
      <c r="D72" s="149" t="s">
        <v>85</v>
      </c>
      <c r="E72" s="149">
        <v>891293</v>
      </c>
      <c r="F72" s="150" t="s">
        <v>436</v>
      </c>
      <c r="G72" s="277">
        <v>3</v>
      </c>
      <c r="H72" s="277">
        <v>3</v>
      </c>
      <c r="I72" s="277">
        <v>48</v>
      </c>
      <c r="J72" s="151">
        <v>920</v>
      </c>
      <c r="K72" s="152">
        <v>1.8929230769230772</v>
      </c>
      <c r="L72" s="153">
        <v>184</v>
      </c>
      <c r="M72" s="151">
        <v>640.46153846153845</v>
      </c>
      <c r="O72" s="154">
        <f t="shared" si="3"/>
        <v>552</v>
      </c>
      <c r="P72" s="154">
        <f t="shared" si="4"/>
        <v>82.8</v>
      </c>
      <c r="Q72" s="155">
        <f t="shared" si="5"/>
        <v>634.79999999999995</v>
      </c>
    </row>
    <row r="73" spans="1:17" ht="15">
      <c r="A73" s="149">
        <v>85223</v>
      </c>
      <c r="B73" s="149" t="s">
        <v>564</v>
      </c>
      <c r="C73" s="149" t="s">
        <v>163</v>
      </c>
      <c r="D73" s="149" t="s">
        <v>85</v>
      </c>
      <c r="E73" s="149">
        <v>891294</v>
      </c>
      <c r="F73" s="150" t="s">
        <v>438</v>
      </c>
      <c r="G73" s="277">
        <v>3</v>
      </c>
      <c r="H73" s="277">
        <v>3</v>
      </c>
      <c r="I73" s="277">
        <v>48</v>
      </c>
      <c r="J73" s="151">
        <v>408</v>
      </c>
      <c r="K73" s="152">
        <v>2.4220000000000002</v>
      </c>
      <c r="L73" s="153">
        <v>68</v>
      </c>
      <c r="M73" s="151">
        <v>243.23076923076923</v>
      </c>
      <c r="O73" s="154">
        <f t="shared" si="3"/>
        <v>204</v>
      </c>
      <c r="P73" s="154">
        <f t="shared" si="4"/>
        <v>30.599999999999998</v>
      </c>
      <c r="Q73" s="155">
        <f t="shared" si="5"/>
        <v>234.6</v>
      </c>
    </row>
    <row r="74" spans="1:17" ht="15">
      <c r="A74" s="149">
        <v>85223</v>
      </c>
      <c r="B74" s="149" t="s">
        <v>564</v>
      </c>
      <c r="C74" s="149" t="s">
        <v>107</v>
      </c>
      <c r="D74" s="149" t="s">
        <v>85</v>
      </c>
      <c r="E74" s="149">
        <v>891296</v>
      </c>
      <c r="F74" s="150" t="s">
        <v>271</v>
      </c>
      <c r="G74" s="277">
        <v>3</v>
      </c>
      <c r="H74" s="277">
        <v>3</v>
      </c>
      <c r="I74" s="277">
        <v>48</v>
      </c>
      <c r="J74" s="151">
        <v>11193</v>
      </c>
      <c r="K74" s="152">
        <v>1.6923076923076923</v>
      </c>
      <c r="L74" s="153">
        <v>1599</v>
      </c>
      <c r="M74" s="151">
        <v>5873.25</v>
      </c>
      <c r="O74" s="154">
        <f t="shared" si="3"/>
        <v>4797</v>
      </c>
      <c r="P74" s="154">
        <f t="shared" si="4"/>
        <v>719.55</v>
      </c>
      <c r="Q74" s="155">
        <f t="shared" si="5"/>
        <v>5516.55</v>
      </c>
    </row>
    <row r="75" spans="1:17" ht="15">
      <c r="A75" s="149">
        <v>85223</v>
      </c>
      <c r="B75" s="149" t="s">
        <v>564</v>
      </c>
      <c r="C75" s="149" t="s">
        <v>128</v>
      </c>
      <c r="D75" s="149" t="s">
        <v>85</v>
      </c>
      <c r="E75" s="149">
        <v>891298</v>
      </c>
      <c r="F75" s="150" t="s">
        <v>337</v>
      </c>
      <c r="G75" s="277">
        <v>6</v>
      </c>
      <c r="H75" s="277">
        <v>2</v>
      </c>
      <c r="I75" s="277">
        <v>12</v>
      </c>
      <c r="J75" s="151">
        <v>44772</v>
      </c>
      <c r="K75" s="152">
        <v>12.52</v>
      </c>
      <c r="L75" s="153">
        <v>1599</v>
      </c>
      <c r="M75" s="151">
        <v>11193</v>
      </c>
      <c r="O75" s="154">
        <f t="shared" si="3"/>
        <v>3198</v>
      </c>
      <c r="P75" s="154">
        <f t="shared" si="4"/>
        <v>479.7</v>
      </c>
      <c r="Q75" s="155">
        <f t="shared" si="5"/>
        <v>3677.7</v>
      </c>
    </row>
    <row r="76" spans="1:17" ht="15">
      <c r="A76" s="149">
        <v>85223</v>
      </c>
      <c r="B76" s="149" t="s">
        <v>564</v>
      </c>
      <c r="C76" s="149" t="s">
        <v>131</v>
      </c>
      <c r="D76" s="149" t="s">
        <v>85</v>
      </c>
      <c r="E76" s="149">
        <v>891300</v>
      </c>
      <c r="F76" s="150" t="s">
        <v>343</v>
      </c>
      <c r="G76" s="277">
        <v>6</v>
      </c>
      <c r="H76" s="277">
        <v>2</v>
      </c>
      <c r="I76" s="277">
        <v>12</v>
      </c>
      <c r="J76" s="151">
        <v>22386</v>
      </c>
      <c r="K76" s="152">
        <v>12.52</v>
      </c>
      <c r="L76" s="153">
        <v>1599</v>
      </c>
      <c r="M76" s="151">
        <v>6642</v>
      </c>
      <c r="O76" s="154">
        <f t="shared" si="3"/>
        <v>3198</v>
      </c>
      <c r="P76" s="154">
        <f t="shared" si="4"/>
        <v>479.7</v>
      </c>
      <c r="Q76" s="155">
        <f t="shared" si="5"/>
        <v>3677.7</v>
      </c>
    </row>
    <row r="77" spans="1:17" ht="15">
      <c r="A77" s="149">
        <v>85223</v>
      </c>
      <c r="B77" s="149" t="s">
        <v>564</v>
      </c>
      <c r="C77" s="149" t="s">
        <v>161</v>
      </c>
      <c r="D77" s="149" t="s">
        <v>85</v>
      </c>
      <c r="E77" s="149">
        <v>891301</v>
      </c>
      <c r="F77" s="150" t="s">
        <v>417</v>
      </c>
      <c r="G77" s="277">
        <v>4</v>
      </c>
      <c r="H77" s="277">
        <v>6</v>
      </c>
      <c r="I77" s="277">
        <v>80</v>
      </c>
      <c r="J77" s="151">
        <v>340.00000000000006</v>
      </c>
      <c r="K77" s="152">
        <v>0.76923076923076916</v>
      </c>
      <c r="L77" s="153">
        <v>68</v>
      </c>
      <c r="M77" s="151">
        <v>440.69230769230768</v>
      </c>
      <c r="O77" s="154">
        <f t="shared" si="3"/>
        <v>408</v>
      </c>
      <c r="P77" s="154">
        <f t="shared" si="4"/>
        <v>61.199999999999996</v>
      </c>
      <c r="Q77" s="155">
        <f t="shared" si="5"/>
        <v>469.2</v>
      </c>
    </row>
    <row r="78" spans="1:17" ht="15">
      <c r="A78" s="149">
        <v>85223</v>
      </c>
      <c r="B78" s="149" t="s">
        <v>564</v>
      </c>
      <c r="C78" s="149" t="s">
        <v>164</v>
      </c>
      <c r="D78" s="149" t="s">
        <v>85</v>
      </c>
      <c r="E78" s="149">
        <v>891302</v>
      </c>
      <c r="F78" s="150" t="s">
        <v>440</v>
      </c>
      <c r="G78" s="277">
        <v>4</v>
      </c>
      <c r="H78" s="277">
        <v>6</v>
      </c>
      <c r="I78" s="277">
        <v>80</v>
      </c>
      <c r="J78" s="151">
        <v>2240</v>
      </c>
      <c r="K78" s="152">
        <v>0.88292307692307681</v>
      </c>
      <c r="L78" s="153">
        <v>280</v>
      </c>
      <c r="M78" s="151">
        <v>1895.3846153846155</v>
      </c>
      <c r="O78" s="154">
        <f t="shared" si="3"/>
        <v>1680</v>
      </c>
      <c r="P78" s="154">
        <f t="shared" si="4"/>
        <v>252</v>
      </c>
      <c r="Q78" s="155">
        <f t="shared" si="5"/>
        <v>1932</v>
      </c>
    </row>
    <row r="79" spans="1:17" ht="15">
      <c r="A79" s="149">
        <v>85223</v>
      </c>
      <c r="B79" s="149" t="s">
        <v>564</v>
      </c>
      <c r="C79" s="149" t="s">
        <v>118</v>
      </c>
      <c r="D79" s="149" t="s">
        <v>85</v>
      </c>
      <c r="E79" s="149">
        <v>960805</v>
      </c>
      <c r="F79" s="150" t="s">
        <v>303</v>
      </c>
      <c r="G79" s="277">
        <v>6</v>
      </c>
      <c r="H79" s="277">
        <v>6</v>
      </c>
      <c r="I79" s="277">
        <v>48</v>
      </c>
      <c r="J79" s="151">
        <v>920</v>
      </c>
      <c r="K79" s="152">
        <v>2.0923076923076924</v>
      </c>
      <c r="L79" s="153">
        <v>184</v>
      </c>
      <c r="M79" s="151">
        <v>1192.4615384615386</v>
      </c>
      <c r="O79" s="154">
        <f t="shared" si="3"/>
        <v>1104</v>
      </c>
      <c r="P79" s="154">
        <f t="shared" si="4"/>
        <v>165.6</v>
      </c>
      <c r="Q79" s="155">
        <f t="shared" si="5"/>
        <v>1269.5999999999999</v>
      </c>
    </row>
    <row r="80" spans="1:17" ht="15">
      <c r="A80" s="149">
        <v>85223</v>
      </c>
      <c r="B80" s="149" t="s">
        <v>564</v>
      </c>
      <c r="C80" s="149" t="s">
        <v>140</v>
      </c>
      <c r="D80" s="149" t="s">
        <v>85</v>
      </c>
      <c r="E80" s="149">
        <v>960806</v>
      </c>
      <c r="F80" s="150" t="s">
        <v>369</v>
      </c>
      <c r="G80" s="277">
        <v>6</v>
      </c>
      <c r="H80" s="277">
        <v>4</v>
      </c>
      <c r="I80" s="277">
        <v>24</v>
      </c>
      <c r="J80" s="151">
        <v>12792</v>
      </c>
      <c r="K80" s="152">
        <v>1.6441538461538461</v>
      </c>
      <c r="L80" s="153">
        <v>1599</v>
      </c>
      <c r="M80" s="151">
        <v>7626</v>
      </c>
      <c r="O80" s="154">
        <f t="shared" si="3"/>
        <v>6396</v>
      </c>
      <c r="P80" s="154">
        <f t="shared" si="4"/>
        <v>959.4</v>
      </c>
      <c r="Q80" s="155">
        <f t="shared" si="5"/>
        <v>7355.4</v>
      </c>
    </row>
    <row r="81" spans="1:17" ht="15">
      <c r="A81" s="149">
        <v>85223</v>
      </c>
      <c r="B81" s="149" t="s">
        <v>564</v>
      </c>
      <c r="C81" s="149" t="s">
        <v>151</v>
      </c>
      <c r="D81" s="149" t="s">
        <v>85</v>
      </c>
      <c r="E81" s="149">
        <v>960807</v>
      </c>
      <c r="F81" s="150" t="s">
        <v>396</v>
      </c>
      <c r="G81" s="277">
        <v>4</v>
      </c>
      <c r="H81" s="277">
        <v>2</v>
      </c>
      <c r="I81" s="277">
        <v>16</v>
      </c>
      <c r="J81" s="151">
        <v>9594</v>
      </c>
      <c r="K81" s="152">
        <v>6.3692307692307688</v>
      </c>
      <c r="L81" s="153">
        <v>1599</v>
      </c>
      <c r="M81" s="151">
        <v>4120.5</v>
      </c>
      <c r="O81" s="154">
        <f t="shared" si="3"/>
        <v>3198</v>
      </c>
      <c r="P81" s="154">
        <f t="shared" si="4"/>
        <v>479.7</v>
      </c>
      <c r="Q81" s="155">
        <f t="shared" si="5"/>
        <v>3677.7</v>
      </c>
    </row>
    <row r="82" spans="1:17" ht="15">
      <c r="A82" s="149">
        <v>85223</v>
      </c>
      <c r="B82" s="149" t="s">
        <v>564</v>
      </c>
      <c r="C82" s="149" t="s">
        <v>152</v>
      </c>
      <c r="D82" s="149" t="s">
        <v>85</v>
      </c>
      <c r="E82" s="149">
        <v>960808</v>
      </c>
      <c r="F82" s="150" t="s">
        <v>398</v>
      </c>
      <c r="G82" s="277">
        <v>4</v>
      </c>
      <c r="H82" s="277">
        <v>2</v>
      </c>
      <c r="I82" s="277">
        <v>16</v>
      </c>
      <c r="J82" s="151">
        <v>920</v>
      </c>
      <c r="K82" s="152">
        <v>6.3692307692307688</v>
      </c>
      <c r="L82" s="153">
        <v>184</v>
      </c>
      <c r="M82" s="151">
        <v>456.46153846153845</v>
      </c>
      <c r="O82" s="154">
        <f t="shared" si="3"/>
        <v>368</v>
      </c>
      <c r="P82" s="154">
        <f t="shared" si="4"/>
        <v>55.199999999999996</v>
      </c>
      <c r="Q82" s="155">
        <f t="shared" si="5"/>
        <v>423.2</v>
      </c>
    </row>
    <row r="83" spans="1:17" ht="15">
      <c r="A83" s="149">
        <v>85223</v>
      </c>
      <c r="B83" s="149" t="s">
        <v>564</v>
      </c>
      <c r="C83" s="149" t="s">
        <v>153</v>
      </c>
      <c r="D83" s="149" t="s">
        <v>85</v>
      </c>
      <c r="E83" s="149">
        <v>960809</v>
      </c>
      <c r="F83" s="150" t="s">
        <v>400</v>
      </c>
      <c r="G83" s="277" t="s">
        <v>335</v>
      </c>
      <c r="H83" s="277">
        <v>2</v>
      </c>
      <c r="I83" s="277">
        <v>6</v>
      </c>
      <c r="J83" s="151">
        <v>7995</v>
      </c>
      <c r="K83" s="152">
        <v>25.476923076923075</v>
      </c>
      <c r="L83" s="153">
        <v>1599</v>
      </c>
      <c r="M83" s="151">
        <v>3966.75</v>
      </c>
      <c r="O83" s="154">
        <f t="shared" si="3"/>
        <v>3198</v>
      </c>
      <c r="P83" s="154">
        <f t="shared" si="4"/>
        <v>479.7</v>
      </c>
      <c r="Q83" s="155">
        <f t="shared" si="5"/>
        <v>3677.7</v>
      </c>
    </row>
    <row r="84" spans="1:17" ht="15">
      <c r="A84" s="149">
        <v>85223</v>
      </c>
      <c r="B84" s="149" t="s">
        <v>564</v>
      </c>
      <c r="C84" s="149" t="s">
        <v>154</v>
      </c>
      <c r="D84" s="149" t="s">
        <v>85</v>
      </c>
      <c r="E84" s="149">
        <v>960810</v>
      </c>
      <c r="F84" s="150" t="s">
        <v>403</v>
      </c>
      <c r="G84" s="277">
        <v>6</v>
      </c>
      <c r="H84" s="277">
        <v>2</v>
      </c>
      <c r="I84" s="277">
        <v>24</v>
      </c>
      <c r="J84" s="151">
        <v>12792</v>
      </c>
      <c r="K84" s="152">
        <v>4.2769230769230768</v>
      </c>
      <c r="L84" s="153">
        <v>1599</v>
      </c>
      <c r="M84" s="151">
        <v>6396</v>
      </c>
      <c r="O84" s="154">
        <f t="shared" si="3"/>
        <v>3198</v>
      </c>
      <c r="P84" s="154">
        <f t="shared" si="4"/>
        <v>479.7</v>
      </c>
      <c r="Q84" s="155">
        <f t="shared" si="5"/>
        <v>3677.7</v>
      </c>
    </row>
    <row r="85" spans="1:17" ht="15">
      <c r="A85" s="149">
        <v>85223</v>
      </c>
      <c r="B85" s="149" t="s">
        <v>564</v>
      </c>
      <c r="C85" s="149" t="s">
        <v>155</v>
      </c>
      <c r="D85" s="149" t="s">
        <v>85</v>
      </c>
      <c r="E85" s="149">
        <v>960811</v>
      </c>
      <c r="F85" s="150" t="s">
        <v>405</v>
      </c>
      <c r="G85" s="277">
        <v>6</v>
      </c>
      <c r="H85" s="277">
        <v>2</v>
      </c>
      <c r="I85" s="277">
        <v>24</v>
      </c>
      <c r="J85" s="151">
        <v>7995</v>
      </c>
      <c r="K85" s="152">
        <v>4.7076923076923078</v>
      </c>
      <c r="L85" s="153">
        <v>1599</v>
      </c>
      <c r="M85" s="151">
        <v>3966.75</v>
      </c>
      <c r="O85" s="154">
        <f t="shared" si="3"/>
        <v>3198</v>
      </c>
      <c r="P85" s="154">
        <f t="shared" si="4"/>
        <v>479.7</v>
      </c>
      <c r="Q85" s="155">
        <f t="shared" si="5"/>
        <v>3677.7</v>
      </c>
    </row>
    <row r="86" spans="1:17" ht="15">
      <c r="A86" s="149">
        <v>85223</v>
      </c>
      <c r="B86" s="149" t="s">
        <v>564</v>
      </c>
      <c r="C86" s="149" t="s">
        <v>170</v>
      </c>
      <c r="D86" s="149" t="s">
        <v>85</v>
      </c>
      <c r="E86" s="149">
        <v>960821</v>
      </c>
      <c r="F86" s="150" t="s">
        <v>587</v>
      </c>
      <c r="G86" s="277">
        <v>6</v>
      </c>
      <c r="H86" s="277">
        <v>4</v>
      </c>
      <c r="I86" s="277">
        <v>24</v>
      </c>
      <c r="J86" s="151">
        <v>12792</v>
      </c>
      <c r="K86" s="152">
        <v>1.3126153846153847</v>
      </c>
      <c r="L86" s="153">
        <v>1599</v>
      </c>
      <c r="M86" s="151">
        <v>7626</v>
      </c>
      <c r="O86" s="154">
        <f t="shared" si="3"/>
        <v>6396</v>
      </c>
      <c r="P86" s="154">
        <f t="shared" si="4"/>
        <v>959.4</v>
      </c>
      <c r="Q86" s="155">
        <f t="shared" si="5"/>
        <v>7355.4</v>
      </c>
    </row>
    <row r="87" spans="1:17" ht="15">
      <c r="A87" s="149">
        <v>85223</v>
      </c>
      <c r="B87" s="149" t="s">
        <v>564</v>
      </c>
      <c r="C87" s="149" t="s">
        <v>171</v>
      </c>
      <c r="D87" s="149" t="s">
        <v>85</v>
      </c>
      <c r="E87" s="149">
        <v>960822</v>
      </c>
      <c r="F87" s="150" t="s">
        <v>479</v>
      </c>
      <c r="G87" s="277">
        <v>6</v>
      </c>
      <c r="H87" s="277">
        <v>6</v>
      </c>
      <c r="I87" s="277">
        <v>24</v>
      </c>
      <c r="J87" s="151">
        <v>15990</v>
      </c>
      <c r="K87" s="152">
        <v>1.0633846153846154</v>
      </c>
      <c r="L87" s="153">
        <v>1599</v>
      </c>
      <c r="M87" s="151">
        <v>11131.5</v>
      </c>
      <c r="O87" s="154">
        <f t="shared" si="3"/>
        <v>9594</v>
      </c>
      <c r="P87" s="154">
        <f t="shared" si="4"/>
        <v>1439.1</v>
      </c>
      <c r="Q87" s="155">
        <f t="shared" si="5"/>
        <v>11033.1</v>
      </c>
    </row>
    <row r="88" spans="1:17" ht="15">
      <c r="A88" s="149">
        <v>85223</v>
      </c>
      <c r="B88" s="149" t="s">
        <v>564</v>
      </c>
      <c r="C88" s="149" t="s">
        <v>172</v>
      </c>
      <c r="D88" s="149" t="s">
        <v>85</v>
      </c>
      <c r="E88" s="149">
        <v>960823</v>
      </c>
      <c r="F88" s="150" t="s">
        <v>592</v>
      </c>
      <c r="G88" s="277">
        <v>6</v>
      </c>
      <c r="H88" s="277">
        <v>4</v>
      </c>
      <c r="I88" s="277">
        <v>24</v>
      </c>
      <c r="J88" s="151">
        <v>12792</v>
      </c>
      <c r="K88" s="152">
        <v>0.88061538461538458</v>
      </c>
      <c r="L88" s="153">
        <v>1599</v>
      </c>
      <c r="M88" s="151">
        <v>7626</v>
      </c>
      <c r="O88" s="154">
        <f t="shared" si="3"/>
        <v>6396</v>
      </c>
      <c r="P88" s="154">
        <f t="shared" si="4"/>
        <v>959.4</v>
      </c>
      <c r="Q88" s="155">
        <f t="shared" si="5"/>
        <v>7355.4</v>
      </c>
    </row>
    <row r="89" spans="1:17" ht="15">
      <c r="A89" s="149">
        <v>85223</v>
      </c>
      <c r="B89" s="149" t="s">
        <v>564</v>
      </c>
      <c r="C89" s="149" t="s">
        <v>173</v>
      </c>
      <c r="D89" s="149" t="s">
        <v>85</v>
      </c>
      <c r="E89" s="149">
        <v>960824</v>
      </c>
      <c r="F89" s="150" t="s">
        <v>596</v>
      </c>
      <c r="G89" s="277">
        <v>6</v>
      </c>
      <c r="H89" s="277">
        <v>6</v>
      </c>
      <c r="I89" s="277">
        <v>24</v>
      </c>
      <c r="J89" s="151">
        <v>15990</v>
      </c>
      <c r="K89" s="152">
        <v>0.63138461538461543</v>
      </c>
      <c r="L89" s="153">
        <v>1599</v>
      </c>
      <c r="M89" s="151">
        <v>11131.5</v>
      </c>
      <c r="O89" s="154">
        <f t="shared" si="3"/>
        <v>9594</v>
      </c>
      <c r="P89" s="154">
        <f t="shared" si="4"/>
        <v>1439.1</v>
      </c>
      <c r="Q89" s="155">
        <f t="shared" si="5"/>
        <v>11033.1</v>
      </c>
    </row>
    <row r="90" spans="1:17" ht="15">
      <c r="A90" s="149">
        <v>85223</v>
      </c>
      <c r="B90" s="149" t="s">
        <v>564</v>
      </c>
      <c r="C90" s="149" t="s">
        <v>174</v>
      </c>
      <c r="D90" s="149" t="s">
        <v>85</v>
      </c>
      <c r="E90" s="149">
        <v>960825</v>
      </c>
      <c r="F90" s="150" t="s">
        <v>589</v>
      </c>
      <c r="G90" s="277">
        <v>6</v>
      </c>
      <c r="H90" s="277">
        <v>4</v>
      </c>
      <c r="I90" s="277">
        <v>24</v>
      </c>
      <c r="J90" s="151">
        <v>12792</v>
      </c>
      <c r="K90" s="152">
        <v>1.2461538461538462</v>
      </c>
      <c r="L90" s="153">
        <v>1599</v>
      </c>
      <c r="M90" s="151">
        <v>7626</v>
      </c>
      <c r="O90" s="154">
        <f t="shared" si="3"/>
        <v>6396</v>
      </c>
      <c r="P90" s="154">
        <f t="shared" si="4"/>
        <v>959.4</v>
      </c>
      <c r="Q90" s="155">
        <f t="shared" si="5"/>
        <v>7355.4</v>
      </c>
    </row>
    <row r="91" spans="1:17" ht="15">
      <c r="A91" s="149">
        <v>85223</v>
      </c>
      <c r="B91" s="149" t="s">
        <v>564</v>
      </c>
      <c r="C91" s="149" t="s">
        <v>175</v>
      </c>
      <c r="D91" s="149" t="s">
        <v>85</v>
      </c>
      <c r="E91" s="149">
        <v>960826</v>
      </c>
      <c r="F91" s="150" t="s">
        <v>571</v>
      </c>
      <c r="G91" s="277" t="s">
        <v>335</v>
      </c>
      <c r="H91" s="277">
        <v>2</v>
      </c>
      <c r="I91" s="277">
        <v>12</v>
      </c>
      <c r="J91" s="151">
        <v>19188</v>
      </c>
      <c r="K91" s="152">
        <v>10.261538461538459</v>
      </c>
      <c r="L91" s="153">
        <v>1599</v>
      </c>
      <c r="M91" s="151">
        <v>6396</v>
      </c>
      <c r="O91" s="154">
        <f t="shared" si="3"/>
        <v>3198</v>
      </c>
      <c r="P91" s="154">
        <f t="shared" si="4"/>
        <v>479.7</v>
      </c>
      <c r="Q91" s="155">
        <f t="shared" si="5"/>
        <v>3677.7</v>
      </c>
    </row>
    <row r="92" spans="1:17" ht="15">
      <c r="A92" s="149">
        <v>85223</v>
      </c>
      <c r="B92" s="149" t="s">
        <v>564</v>
      </c>
      <c r="C92" s="149" t="s">
        <v>177</v>
      </c>
      <c r="D92" s="149" t="s">
        <v>85</v>
      </c>
      <c r="E92" s="149">
        <v>960827</v>
      </c>
      <c r="F92" s="150" t="s">
        <v>494</v>
      </c>
      <c r="G92" s="277">
        <v>6</v>
      </c>
      <c r="H92" s="277">
        <v>8</v>
      </c>
      <c r="I92" s="277">
        <v>24</v>
      </c>
      <c r="J92" s="151">
        <v>12792</v>
      </c>
      <c r="K92" s="152">
        <v>0.83076923076923082</v>
      </c>
      <c r="L92" s="153">
        <v>1599</v>
      </c>
      <c r="M92" s="151">
        <v>14022</v>
      </c>
      <c r="O92" s="154">
        <f t="shared" si="3"/>
        <v>12792</v>
      </c>
      <c r="P92" s="154">
        <f t="shared" si="4"/>
        <v>1918.8</v>
      </c>
      <c r="Q92" s="155">
        <f t="shared" si="5"/>
        <v>14710.8</v>
      </c>
    </row>
    <row r="93" spans="1:17" ht="15">
      <c r="A93" s="149">
        <v>85223</v>
      </c>
      <c r="B93" s="149" t="s">
        <v>564</v>
      </c>
      <c r="C93" s="149" t="s">
        <v>186</v>
      </c>
      <c r="D93" s="149" t="s">
        <v>85</v>
      </c>
      <c r="E93" s="149">
        <v>960828</v>
      </c>
      <c r="F93" s="150" t="s">
        <v>583</v>
      </c>
      <c r="G93" s="277">
        <v>10</v>
      </c>
      <c r="H93" s="277">
        <v>5</v>
      </c>
      <c r="I93" s="277">
        <v>100</v>
      </c>
      <c r="J93" s="151">
        <v>28782</v>
      </c>
      <c r="K93" s="152">
        <v>0.95384615384615379</v>
      </c>
      <c r="L93" s="153">
        <v>1599</v>
      </c>
      <c r="M93" s="151">
        <v>15990</v>
      </c>
      <c r="O93" s="154">
        <f t="shared" si="3"/>
        <v>7995</v>
      </c>
      <c r="P93" s="154">
        <f t="shared" si="4"/>
        <v>1199.25</v>
      </c>
      <c r="Q93" s="155">
        <f t="shared" si="5"/>
        <v>9194.25</v>
      </c>
    </row>
    <row r="94" spans="1:17" ht="15">
      <c r="A94" s="159"/>
      <c r="B94" s="159" t="s">
        <v>564</v>
      </c>
      <c r="C94" s="159" t="s">
        <v>198</v>
      </c>
      <c r="D94" s="149" t="s">
        <v>85</v>
      </c>
      <c r="E94" s="159">
        <v>959762</v>
      </c>
      <c r="F94" s="160" t="s">
        <v>527</v>
      </c>
      <c r="G94" s="278">
        <v>6</v>
      </c>
      <c r="H94" s="278">
        <v>6</v>
      </c>
      <c r="I94" s="278">
        <v>24</v>
      </c>
      <c r="J94" s="161">
        <v>340.00000000000006</v>
      </c>
      <c r="K94" s="162">
        <v>0.38461538461538458</v>
      </c>
      <c r="L94" s="163">
        <v>68</v>
      </c>
      <c r="M94" s="161">
        <v>440.69230769230768</v>
      </c>
      <c r="O94" s="154">
        <f t="shared" si="3"/>
        <v>408</v>
      </c>
      <c r="P94" s="154">
        <f t="shared" si="4"/>
        <v>61.199999999999996</v>
      </c>
      <c r="Q94" s="155">
        <f t="shared" si="5"/>
        <v>469.2</v>
      </c>
    </row>
    <row r="95" spans="1:17" ht="15">
      <c r="A95" s="159"/>
      <c r="B95" s="159" t="s">
        <v>564</v>
      </c>
      <c r="C95" s="159" t="s">
        <v>109</v>
      </c>
      <c r="D95" s="149" t="s">
        <v>85</v>
      </c>
      <c r="E95" s="159">
        <v>959763</v>
      </c>
      <c r="F95" s="160" t="s">
        <v>613</v>
      </c>
      <c r="G95" s="278">
        <v>6</v>
      </c>
      <c r="H95" s="278">
        <v>6</v>
      </c>
      <c r="I95" s="278">
        <v>12</v>
      </c>
      <c r="J95" s="161">
        <v>1104.0000000000002</v>
      </c>
      <c r="K95" s="162">
        <v>1.42</v>
      </c>
      <c r="L95" s="163">
        <v>184</v>
      </c>
      <c r="M95" s="161">
        <v>1210.1538461538462</v>
      </c>
      <c r="O95" s="154">
        <f t="shared" si="3"/>
        <v>1104</v>
      </c>
      <c r="P95" s="154">
        <f t="shared" si="4"/>
        <v>165.6</v>
      </c>
      <c r="Q95" s="155">
        <f t="shared" si="5"/>
        <v>1269.5999999999999</v>
      </c>
    </row>
    <row r="96" spans="1:17" ht="15">
      <c r="A96" s="159"/>
      <c r="B96" s="159" t="s">
        <v>564</v>
      </c>
      <c r="C96" s="159" t="s">
        <v>69</v>
      </c>
      <c r="D96" s="149" t="s">
        <v>85</v>
      </c>
      <c r="E96" s="159">
        <v>963329</v>
      </c>
      <c r="F96" s="160" t="s">
        <v>206</v>
      </c>
      <c r="G96" s="278">
        <v>6</v>
      </c>
      <c r="H96" s="278">
        <v>6</v>
      </c>
      <c r="I96" s="278">
        <v>24</v>
      </c>
      <c r="J96" s="161">
        <v>340.00000000000006</v>
      </c>
      <c r="K96" s="162">
        <v>1.7455384615384613</v>
      </c>
      <c r="L96" s="163">
        <v>68</v>
      </c>
      <c r="M96" s="161">
        <v>440.69230769230768</v>
      </c>
      <c r="O96" s="154">
        <f t="shared" si="3"/>
        <v>408</v>
      </c>
      <c r="P96" s="154">
        <f t="shared" si="4"/>
        <v>61.199999999999996</v>
      </c>
      <c r="Q96" s="155">
        <f t="shared" si="5"/>
        <v>469.2</v>
      </c>
    </row>
    <row r="97" spans="1:17" ht="15">
      <c r="A97" s="159"/>
      <c r="B97" s="159" t="s">
        <v>564</v>
      </c>
      <c r="C97" s="159" t="s">
        <v>196</v>
      </c>
      <c r="D97" s="149" t="s">
        <v>85</v>
      </c>
      <c r="E97" s="159">
        <v>963330</v>
      </c>
      <c r="F97" s="160" t="s">
        <v>525</v>
      </c>
      <c r="G97" s="278">
        <v>6</v>
      </c>
      <c r="H97" s="278">
        <v>6</v>
      </c>
      <c r="I97" s="278">
        <v>24</v>
      </c>
      <c r="J97" s="161">
        <v>340.00000000000006</v>
      </c>
      <c r="K97" s="162">
        <v>0.46646153846153848</v>
      </c>
      <c r="L97" s="163">
        <v>68</v>
      </c>
      <c r="M97" s="161">
        <v>440.69230769230768</v>
      </c>
      <c r="O97" s="154">
        <f t="shared" si="3"/>
        <v>408</v>
      </c>
      <c r="P97" s="154">
        <f t="shared" si="4"/>
        <v>61.199999999999996</v>
      </c>
      <c r="Q97" s="155">
        <f t="shared" si="5"/>
        <v>469.2</v>
      </c>
    </row>
    <row r="98" spans="1:17" ht="15">
      <c r="A98" s="159"/>
      <c r="B98" s="159" t="s">
        <v>564</v>
      </c>
      <c r="C98" s="159" t="s">
        <v>184</v>
      </c>
      <c r="D98" s="149" t="s">
        <v>85</v>
      </c>
      <c r="E98" s="159">
        <v>963331</v>
      </c>
      <c r="F98" s="160" t="s">
        <v>506</v>
      </c>
      <c r="G98" s="278">
        <v>6</v>
      </c>
      <c r="H98" s="278">
        <v>6</v>
      </c>
      <c r="I98" s="278">
        <v>24</v>
      </c>
      <c r="J98" s="161">
        <v>7995</v>
      </c>
      <c r="K98" s="162">
        <v>0.34646153846153843</v>
      </c>
      <c r="L98" s="163">
        <v>1599</v>
      </c>
      <c r="M98" s="161">
        <v>10362.75</v>
      </c>
      <c r="O98" s="154">
        <f t="shared" si="3"/>
        <v>9594</v>
      </c>
      <c r="P98" s="154">
        <f t="shared" si="4"/>
        <v>1439.1</v>
      </c>
      <c r="Q98" s="155">
        <f t="shared" si="5"/>
        <v>11033.1</v>
      </c>
    </row>
    <row r="99" spans="1:17" ht="15">
      <c r="A99" s="159"/>
      <c r="B99" s="159" t="s">
        <v>564</v>
      </c>
      <c r="C99" s="159" t="s">
        <v>190</v>
      </c>
      <c r="D99" s="149" t="s">
        <v>85</v>
      </c>
      <c r="E99" s="159">
        <v>963332</v>
      </c>
      <c r="F99" s="160" t="s">
        <v>515</v>
      </c>
      <c r="G99" s="278" t="s">
        <v>335</v>
      </c>
      <c r="H99" s="278">
        <v>2</v>
      </c>
      <c r="I99" s="279">
        <v>5</v>
      </c>
      <c r="J99" s="161">
        <v>19188</v>
      </c>
      <c r="K99" s="162">
        <v>9.1076923076923073</v>
      </c>
      <c r="L99" s="163">
        <v>1599</v>
      </c>
      <c r="M99" s="161">
        <v>6396</v>
      </c>
      <c r="O99" s="154">
        <f t="shared" si="3"/>
        <v>3198</v>
      </c>
      <c r="P99" s="154">
        <f t="shared" si="4"/>
        <v>479.7</v>
      </c>
      <c r="Q99" s="155">
        <f t="shared" si="5"/>
        <v>3677.7</v>
      </c>
    </row>
    <row r="101" spans="1:17">
      <c r="A101" s="164" t="s">
        <v>810</v>
      </c>
      <c r="B101" s="159"/>
      <c r="C101" s="159"/>
      <c r="D101" s="159"/>
      <c r="E101" s="165"/>
      <c r="G101" s="280"/>
      <c r="H101" s="280"/>
      <c r="I101" s="280"/>
    </row>
  </sheetData>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enableFormatConditionsCalculation="0">
    <tabColor theme="9" tint="0.39997558519241921"/>
  </sheetPr>
  <dimension ref="A1:CK148"/>
  <sheetViews>
    <sheetView workbookViewId="0">
      <pane xSplit="4" ySplit="3" topLeftCell="E92" activePane="bottomRight" state="frozen"/>
      <selection pane="topRight" activeCell="D1" sqref="D1"/>
      <selection pane="bottomLeft" activeCell="A4" sqref="A4"/>
      <selection pane="bottomRight" activeCell="E107" sqref="E107"/>
    </sheetView>
  </sheetViews>
  <sheetFormatPr baseColWidth="10" defaultColWidth="8" defaultRowHeight="14" x14ac:dyDescent="0"/>
  <cols>
    <col min="1" max="1" width="10.5" style="173" customWidth="1"/>
    <col min="2" max="2" width="18" style="173" customWidth="1"/>
    <col min="3" max="3" width="10.1640625" style="175" customWidth="1"/>
    <col min="4" max="4" width="35.6640625" style="173" customWidth="1"/>
    <col min="5" max="6" width="8.33203125" style="177" customWidth="1"/>
    <col min="7" max="8" width="25.33203125" style="177" customWidth="1"/>
    <col min="9" max="9" width="9.83203125" style="177" customWidth="1"/>
    <col min="10" max="10" width="28.83203125" style="177" customWidth="1"/>
    <col min="11" max="11" width="7.33203125" style="177" customWidth="1"/>
    <col min="12" max="12" width="9.83203125" style="177" customWidth="1"/>
    <col min="13" max="13" width="13.5" style="177" customWidth="1"/>
    <col min="14" max="14" width="39.5" style="177" customWidth="1"/>
    <col min="15" max="15" width="12" style="177" customWidth="1"/>
    <col min="16" max="18" width="11.1640625" style="177" customWidth="1"/>
    <col min="19" max="19" width="9.83203125" style="177" customWidth="1"/>
    <col min="20" max="20" width="11.1640625" style="177" customWidth="1"/>
    <col min="21" max="21" width="11.1640625" style="178" customWidth="1"/>
    <col min="22" max="22" width="19" style="178" customWidth="1"/>
    <col min="23" max="27" width="11.1640625" style="177" customWidth="1"/>
    <col min="28" max="28" width="11.1640625" style="178" customWidth="1"/>
    <col min="29" max="38" width="11.1640625" style="177" customWidth="1"/>
    <col min="39" max="39" width="8.1640625" style="173" customWidth="1"/>
    <col min="40" max="40" width="8.5" style="173" customWidth="1"/>
    <col min="41" max="41" width="10" style="173" customWidth="1"/>
    <col min="42" max="42" width="5.1640625" style="173" customWidth="1"/>
    <col min="43" max="43" width="9" style="28" customWidth="1"/>
    <col min="44" max="44" width="10.5" style="173" customWidth="1"/>
    <col min="45" max="45" width="7.6640625" style="173" customWidth="1"/>
    <col min="46" max="46" width="11.6640625" style="173" customWidth="1"/>
    <col min="47" max="47" width="8.5" style="173" customWidth="1"/>
    <col min="48" max="48" width="4.83203125" style="173" customWidth="1"/>
    <col min="49" max="49" width="5.83203125" style="173" customWidth="1"/>
    <col min="50" max="58" width="11.1640625" style="177" customWidth="1"/>
    <col min="59" max="59" width="8.1640625" style="173" customWidth="1"/>
    <col min="60" max="60" width="8.6640625" style="173" customWidth="1"/>
    <col min="61" max="61" width="6" style="173" customWidth="1"/>
    <col min="62" max="63" width="6" style="182" customWidth="1"/>
    <col min="64" max="66" width="6.6640625" style="173" customWidth="1"/>
    <col min="67" max="67" width="5.6640625" style="173" customWidth="1"/>
    <col min="68" max="68" width="7.1640625" style="225" customWidth="1"/>
    <col min="69" max="69" width="6.1640625" style="173" customWidth="1"/>
    <col min="70" max="70" width="13.1640625" style="173" customWidth="1"/>
    <col min="71" max="71" width="14.33203125" style="173" customWidth="1"/>
    <col min="72" max="73" width="8" style="173" customWidth="1"/>
    <col min="74" max="74" width="15.5" style="173" customWidth="1"/>
    <col min="75" max="75" width="10.1640625" style="173" customWidth="1"/>
    <col min="76" max="76" width="45.33203125" style="173" customWidth="1"/>
    <col min="77" max="77" width="47.5" style="173" customWidth="1"/>
    <col min="78" max="78" width="56.1640625" style="173" customWidth="1"/>
    <col min="79" max="79" width="7.83203125" style="186" customWidth="1"/>
    <col min="80" max="80" width="7.83203125" style="187" customWidth="1"/>
    <col min="81" max="82" width="7.83203125" style="186" customWidth="1"/>
    <col min="83" max="16384" width="8" style="173"/>
  </cols>
  <sheetData>
    <row r="1" spans="1:89" ht="21" thickBot="1">
      <c r="B1" s="174" t="s">
        <v>902</v>
      </c>
      <c r="E1" s="176"/>
      <c r="F1" s="176"/>
      <c r="G1" s="176"/>
      <c r="H1" s="176"/>
      <c r="I1" s="176"/>
      <c r="L1" s="176"/>
      <c r="M1" s="176"/>
      <c r="P1" s="177" t="e">
        <f>+P:PA:NJ:OI3JJ:BA</f>
        <v>#NAME?</v>
      </c>
      <c r="AC1" s="179"/>
      <c r="AR1" s="180"/>
      <c r="AV1" s="180"/>
      <c r="AX1" s="181" t="s">
        <v>903</v>
      </c>
      <c r="BI1" s="173" t="s">
        <v>904</v>
      </c>
      <c r="BP1" s="183"/>
      <c r="BR1" s="184"/>
      <c r="BS1" s="185">
        <v>1687563.14</v>
      </c>
      <c r="CD1" s="188"/>
      <c r="CF1" s="184"/>
    </row>
    <row r="2" spans="1:89" ht="15" customHeight="1">
      <c r="AR2" s="189" t="s">
        <v>547</v>
      </c>
      <c r="AS2" s="189"/>
      <c r="AT2" s="189"/>
      <c r="AU2" s="190" t="s">
        <v>905</v>
      </c>
      <c r="AX2" s="181" t="s">
        <v>906</v>
      </c>
      <c r="AY2" s="181" t="s">
        <v>907</v>
      </c>
      <c r="AZ2" s="181" t="s">
        <v>908</v>
      </c>
      <c r="BA2" s="181" t="s">
        <v>909</v>
      </c>
      <c r="BB2" s="181"/>
      <c r="BC2" s="181"/>
      <c r="BD2" s="181"/>
      <c r="BE2" s="181"/>
      <c r="BF2" s="181"/>
      <c r="BH2" s="287" t="s">
        <v>910</v>
      </c>
      <c r="BI2" s="288"/>
      <c r="BJ2" s="288"/>
      <c r="BK2" s="288"/>
      <c r="BL2" s="288"/>
      <c r="BM2" s="288"/>
      <c r="BN2" s="288"/>
      <c r="BO2" s="288"/>
      <c r="BP2" s="288"/>
      <c r="BQ2" s="288"/>
      <c r="BS2" s="191">
        <f>SUM(BS4:BS146)</f>
        <v>1093242.6956923078</v>
      </c>
    </row>
    <row r="3" spans="1:89" s="209" customFormat="1" ht="84">
      <c r="A3" s="192" t="s">
        <v>911</v>
      </c>
      <c r="B3" s="192" t="s">
        <v>548</v>
      </c>
      <c r="C3" s="192" t="s">
        <v>549</v>
      </c>
      <c r="D3" s="192" t="s">
        <v>551</v>
      </c>
      <c r="E3" s="193" t="s">
        <v>550</v>
      </c>
      <c r="F3" s="194" t="s">
        <v>912</v>
      </c>
      <c r="G3" s="194" t="s">
        <v>913</v>
      </c>
      <c r="H3" s="194" t="s">
        <v>914</v>
      </c>
      <c r="I3" s="194" t="s">
        <v>915</v>
      </c>
      <c r="J3" s="194" t="s">
        <v>916</v>
      </c>
      <c r="K3" s="194" t="s">
        <v>917</v>
      </c>
      <c r="L3" s="194" t="s">
        <v>918</v>
      </c>
      <c r="M3" s="194" t="s">
        <v>919</v>
      </c>
      <c r="N3" s="194" t="s">
        <v>920</v>
      </c>
      <c r="O3" s="194" t="s">
        <v>921</v>
      </c>
      <c r="P3" s="193" t="s">
        <v>552</v>
      </c>
      <c r="Q3" s="193" t="s">
        <v>553</v>
      </c>
      <c r="R3" s="193" t="s">
        <v>554</v>
      </c>
      <c r="S3" s="193" t="s">
        <v>922</v>
      </c>
      <c r="T3" s="193" t="s">
        <v>555</v>
      </c>
      <c r="U3" s="195" t="s">
        <v>556</v>
      </c>
      <c r="V3" s="195" t="s">
        <v>557</v>
      </c>
      <c r="W3" s="193" t="s">
        <v>923</v>
      </c>
      <c r="X3" s="193" t="s">
        <v>924</v>
      </c>
      <c r="Y3" s="193" t="s">
        <v>925</v>
      </c>
      <c r="Z3" s="193" t="s">
        <v>926</v>
      </c>
      <c r="AA3" s="193" t="s">
        <v>927</v>
      </c>
      <c r="AB3" s="195" t="s">
        <v>928</v>
      </c>
      <c r="AC3" s="193" t="s">
        <v>929</v>
      </c>
      <c r="AD3" s="193" t="s">
        <v>930</v>
      </c>
      <c r="AE3" s="193" t="s">
        <v>931</v>
      </c>
      <c r="AF3" s="193" t="s">
        <v>932</v>
      </c>
      <c r="AG3" s="193" t="s">
        <v>933</v>
      </c>
      <c r="AH3" s="196" t="s">
        <v>934</v>
      </c>
      <c r="AI3" s="196" t="s">
        <v>935</v>
      </c>
      <c r="AJ3" s="196" t="s">
        <v>936</v>
      </c>
      <c r="AK3" s="196" t="s">
        <v>937</v>
      </c>
      <c r="AL3" s="196"/>
      <c r="AM3" s="192" t="s">
        <v>938</v>
      </c>
      <c r="AN3" s="192" t="s">
        <v>939</v>
      </c>
      <c r="AO3" s="192" t="s">
        <v>940</v>
      </c>
      <c r="AP3" s="192" t="s">
        <v>941</v>
      </c>
      <c r="AQ3" s="197" t="s">
        <v>558</v>
      </c>
      <c r="AR3" s="198" t="s">
        <v>559</v>
      </c>
      <c r="AS3" s="199" t="s">
        <v>560</v>
      </c>
      <c r="AT3" s="199" t="s">
        <v>561</v>
      </c>
      <c r="AU3" s="200" t="s">
        <v>942</v>
      </c>
      <c r="AV3" s="192" t="s">
        <v>943</v>
      </c>
      <c r="AW3" s="192" t="s">
        <v>944</v>
      </c>
      <c r="AX3" s="193" t="s">
        <v>945</v>
      </c>
      <c r="AY3" s="193" t="s">
        <v>946</v>
      </c>
      <c r="AZ3" s="193" t="s">
        <v>947</v>
      </c>
      <c r="BA3" s="193" t="s">
        <v>948</v>
      </c>
      <c r="BB3" s="196" t="s">
        <v>949</v>
      </c>
      <c r="BC3" s="196" t="s">
        <v>950</v>
      </c>
      <c r="BD3" s="196" t="s">
        <v>951</v>
      </c>
      <c r="BE3" s="196" t="s">
        <v>952</v>
      </c>
      <c r="BF3" s="201" t="s">
        <v>953</v>
      </c>
      <c r="BG3" s="202" t="s">
        <v>954</v>
      </c>
      <c r="BH3" s="203" t="s">
        <v>955</v>
      </c>
      <c r="BI3" s="203" t="s">
        <v>956</v>
      </c>
      <c r="BJ3" s="204" t="s">
        <v>957</v>
      </c>
      <c r="BK3" s="205" t="s">
        <v>958</v>
      </c>
      <c r="BL3" s="192" t="s">
        <v>959</v>
      </c>
      <c r="BM3" s="192" t="s">
        <v>960</v>
      </c>
      <c r="BN3" s="192" t="s">
        <v>961</v>
      </c>
      <c r="BO3" s="206" t="s">
        <v>962</v>
      </c>
      <c r="BP3" s="207" t="s">
        <v>963</v>
      </c>
      <c r="BQ3" s="208" t="s">
        <v>964</v>
      </c>
      <c r="BR3" s="209" t="s">
        <v>965</v>
      </c>
      <c r="BT3" s="210" t="s">
        <v>66</v>
      </c>
      <c r="BU3" s="210" t="s">
        <v>683</v>
      </c>
      <c r="BV3" s="210" t="s">
        <v>68</v>
      </c>
      <c r="BW3" s="210" t="s">
        <v>562</v>
      </c>
      <c r="BX3" s="211" t="s">
        <v>966</v>
      </c>
      <c r="BY3" s="210" t="s">
        <v>967</v>
      </c>
      <c r="BZ3" s="211" t="s">
        <v>968</v>
      </c>
      <c r="CA3" s="193" t="s">
        <v>550</v>
      </c>
      <c r="CB3" s="212" t="s">
        <v>969</v>
      </c>
      <c r="CC3" s="212" t="s">
        <v>970</v>
      </c>
      <c r="CD3" s="209" t="s">
        <v>971</v>
      </c>
      <c r="CE3" s="209" t="s">
        <v>972</v>
      </c>
      <c r="CF3" s="209" t="s">
        <v>973</v>
      </c>
      <c r="CG3" s="209" t="s">
        <v>974</v>
      </c>
      <c r="CH3" s="209" t="s">
        <v>975</v>
      </c>
      <c r="CI3" s="209" t="s">
        <v>976</v>
      </c>
      <c r="CJ3" s="209" t="s">
        <v>977</v>
      </c>
      <c r="CK3" s="209" t="s">
        <v>978</v>
      </c>
    </row>
    <row r="4" spans="1:89" ht="15" customHeight="1">
      <c r="A4" s="177" t="s">
        <v>82</v>
      </c>
      <c r="B4" s="173" t="s">
        <v>564</v>
      </c>
      <c r="C4" s="175">
        <v>120</v>
      </c>
      <c r="D4" s="173" t="s">
        <v>337</v>
      </c>
      <c r="E4" s="177" t="s">
        <v>979</v>
      </c>
      <c r="F4" s="213" t="s">
        <v>980</v>
      </c>
      <c r="G4" s="213" t="s">
        <v>981</v>
      </c>
      <c r="H4" s="213" t="s">
        <v>122</v>
      </c>
      <c r="I4" s="213" t="s">
        <v>982</v>
      </c>
      <c r="J4" s="213" t="s">
        <v>983</v>
      </c>
      <c r="K4" s="214" t="s">
        <v>310</v>
      </c>
      <c r="L4" s="213" t="s">
        <v>984</v>
      </c>
      <c r="M4" s="213" t="s">
        <v>985</v>
      </c>
      <c r="N4" s="213" t="s">
        <v>986</v>
      </c>
      <c r="O4" s="213"/>
      <c r="P4" s="177">
        <v>12</v>
      </c>
      <c r="Q4" s="177">
        <v>11.5</v>
      </c>
      <c r="R4" s="177">
        <v>2.5</v>
      </c>
      <c r="S4" s="215">
        <v>730007000658</v>
      </c>
      <c r="T4" s="177">
        <v>1.76</v>
      </c>
      <c r="U4" s="178">
        <v>0.19965277777777779</v>
      </c>
      <c r="V4" s="216" t="s">
        <v>565</v>
      </c>
      <c r="W4" s="217">
        <v>6</v>
      </c>
      <c r="X4" s="177">
        <v>9.3699999999999992</v>
      </c>
      <c r="Y4" s="177">
        <v>16.75</v>
      </c>
      <c r="Z4" s="177">
        <v>11.87</v>
      </c>
      <c r="AA4" s="177">
        <v>8.93</v>
      </c>
      <c r="AB4" s="178">
        <v>1.0781058015046294</v>
      </c>
      <c r="AC4" s="177">
        <v>12</v>
      </c>
      <c r="AD4" s="177">
        <v>9.8699999999999992</v>
      </c>
      <c r="AE4" s="177">
        <v>17.25</v>
      </c>
      <c r="AF4" s="177">
        <v>24.74</v>
      </c>
      <c r="AG4" s="177">
        <v>19.86</v>
      </c>
      <c r="AM4" s="218" t="s">
        <v>987</v>
      </c>
      <c r="AN4" s="177" t="s">
        <v>988</v>
      </c>
      <c r="AO4" s="177" t="s">
        <v>989</v>
      </c>
      <c r="AQ4" s="281">
        <v>1599</v>
      </c>
      <c r="AR4" s="219">
        <v>44772</v>
      </c>
      <c r="AS4" s="220">
        <v>861</v>
      </c>
      <c r="AT4" s="221">
        <v>0.53846153846153844</v>
      </c>
      <c r="AU4" s="222">
        <v>12.52</v>
      </c>
      <c r="AV4" s="189">
        <v>2</v>
      </c>
      <c r="AW4" s="223">
        <f>AV4-W4</f>
        <v>-4</v>
      </c>
      <c r="AX4" s="177">
        <v>9.3699999999999992</v>
      </c>
      <c r="AY4" s="177">
        <v>16.75</v>
      </c>
      <c r="AZ4" s="177">
        <f>11.87/3</f>
        <v>3.9566666666666666</v>
      </c>
      <c r="BA4" s="177">
        <f>8.93/3</f>
        <v>2.9766666666666666</v>
      </c>
      <c r="BG4" s="182">
        <f t="shared" ref="BG4:BG67" si="0">IFERROR(AV4/AT4,"")</f>
        <v>3.7142857142857144</v>
      </c>
      <c r="BH4" s="224">
        <f t="shared" ref="BH4:BH67" si="1">IFERROR(IF(AM4="WEX",0,IF(OR(AN4="1XD"),10*AT4,8*AT4)),"")</f>
        <v>4.3076923076923075</v>
      </c>
      <c r="BI4" s="182">
        <f t="shared" ref="BI4:BI67" si="2">IF(AM4="WEX",0,IF(AV4&lt;=2,2,AV4))</f>
        <v>2</v>
      </c>
      <c r="BJ4" s="182">
        <f t="shared" ref="BJ4:BJ67" si="3">IFERROR(MAX(BH4,BI4),"")</f>
        <v>4.3076923076923075</v>
      </c>
      <c r="BL4" s="182"/>
      <c r="BM4" s="182"/>
      <c r="BN4" s="182"/>
      <c r="BP4" s="225">
        <f t="shared" ref="BP4:BP67" si="4">IFERROR(IF(ISNA(BK4),BJ4,IF(BK4&gt;=0,BK4+BJ4,BJ4+IF(SUM(BL4:BN4)&gt;0,(MAX(BL4,BM4,BN4)-1),0)+BO4)),"")</f>
        <v>4.3076923076923075</v>
      </c>
      <c r="BQ4" s="182">
        <f t="shared" ref="BQ4:BQ67" si="5">IFERROR(BP4/AT4,"")</f>
        <v>8</v>
      </c>
      <c r="BR4" s="173" t="s">
        <v>204</v>
      </c>
      <c r="BS4" s="226">
        <f t="shared" ref="BS4:BS23" si="6">AV4*AU4*AQ4</f>
        <v>40038.959999999999</v>
      </c>
      <c r="BT4" s="227" t="s">
        <v>335</v>
      </c>
      <c r="BU4" s="227"/>
      <c r="BV4" s="227" t="s">
        <v>335</v>
      </c>
      <c r="BW4" s="227" t="s">
        <v>335</v>
      </c>
      <c r="BX4" s="189" t="s">
        <v>990</v>
      </c>
      <c r="BY4" s="189"/>
      <c r="CA4" s="177" t="s">
        <v>979</v>
      </c>
      <c r="CB4" s="187">
        <v>3677.7</v>
      </c>
      <c r="CC4" s="186">
        <v>44772</v>
      </c>
      <c r="CD4" s="186">
        <v>2</v>
      </c>
      <c r="CE4" s="173">
        <v>12</v>
      </c>
      <c r="CF4" s="173">
        <f>CE4</f>
        <v>12</v>
      </c>
      <c r="CG4" s="173">
        <f>CE4/CD4</f>
        <v>6</v>
      </c>
      <c r="CK4" s="173">
        <f>CD4-AV4</f>
        <v>0</v>
      </c>
    </row>
    <row r="5" spans="1:89" ht="15" customHeight="1">
      <c r="A5" s="177" t="s">
        <v>82</v>
      </c>
      <c r="B5" s="173" t="s">
        <v>564</v>
      </c>
      <c r="C5" s="175">
        <v>97</v>
      </c>
      <c r="D5" s="173" t="s">
        <v>400</v>
      </c>
      <c r="E5" s="177" t="s">
        <v>153</v>
      </c>
      <c r="F5" s="213" t="s">
        <v>991</v>
      </c>
      <c r="G5" s="213" t="s">
        <v>992</v>
      </c>
      <c r="H5" s="213" t="s">
        <v>73</v>
      </c>
      <c r="I5" s="213" t="s">
        <v>993</v>
      </c>
      <c r="J5" s="213" t="s">
        <v>994</v>
      </c>
      <c r="K5" s="214" t="s">
        <v>401</v>
      </c>
      <c r="L5" s="213" t="s">
        <v>995</v>
      </c>
      <c r="M5" s="213" t="s">
        <v>996</v>
      </c>
      <c r="N5" s="213"/>
      <c r="O5" s="213"/>
      <c r="P5" s="177">
        <v>3.5</v>
      </c>
      <c r="Q5" s="177">
        <v>3.5</v>
      </c>
      <c r="R5" s="177">
        <v>11</v>
      </c>
      <c r="S5" s="215" t="s">
        <v>861</v>
      </c>
      <c r="T5" s="177">
        <v>8</v>
      </c>
      <c r="U5" s="178">
        <v>7.798032407407407E-2</v>
      </c>
      <c r="V5" s="216" t="s">
        <v>568</v>
      </c>
      <c r="W5" s="177" t="s">
        <v>335</v>
      </c>
      <c r="X5" s="177" t="s">
        <v>335</v>
      </c>
      <c r="Y5" s="177" t="s">
        <v>335</v>
      </c>
      <c r="Z5" s="177" t="s">
        <v>335</v>
      </c>
      <c r="AA5" s="177" t="s">
        <v>335</v>
      </c>
      <c r="AB5" s="178" t="e">
        <v>#VALUE!</v>
      </c>
      <c r="AC5" s="217">
        <v>6</v>
      </c>
      <c r="AD5" s="177">
        <v>22.6</v>
      </c>
      <c r="AE5" s="177">
        <v>12.75</v>
      </c>
      <c r="AF5" s="177">
        <v>12.75</v>
      </c>
      <c r="AG5" s="177">
        <v>50.5</v>
      </c>
      <c r="AM5" s="218" t="s">
        <v>987</v>
      </c>
      <c r="AN5" s="177" t="s">
        <v>988</v>
      </c>
      <c r="AO5" s="177" t="s">
        <v>989</v>
      </c>
      <c r="AQ5" s="281">
        <v>1599</v>
      </c>
      <c r="AR5" s="219">
        <v>7995</v>
      </c>
      <c r="AS5" s="220">
        <v>153.75</v>
      </c>
      <c r="AT5" s="221">
        <v>9.6153846153846159E-2</v>
      </c>
      <c r="AU5" s="222">
        <v>25.4769230769231</v>
      </c>
      <c r="AV5" s="189">
        <v>2</v>
      </c>
      <c r="AW5" s="223">
        <f>AV5-AC5</f>
        <v>-4</v>
      </c>
      <c r="AX5" s="177">
        <v>22.1</v>
      </c>
      <c r="AY5" s="177">
        <v>12.25</v>
      </c>
      <c r="AZ5" s="177">
        <f>11.75/3</f>
        <v>3.9166666666666665</v>
      </c>
      <c r="BA5" s="177">
        <f>48.5/3</f>
        <v>16.166666666666668</v>
      </c>
      <c r="BG5" s="182">
        <f t="shared" si="0"/>
        <v>20.799999999999997</v>
      </c>
      <c r="BH5" s="224">
        <f t="shared" si="1"/>
        <v>0.76923076923076927</v>
      </c>
      <c r="BI5" s="182">
        <f t="shared" si="2"/>
        <v>2</v>
      </c>
      <c r="BJ5" s="182">
        <f t="shared" si="3"/>
        <v>2</v>
      </c>
      <c r="BL5" s="182"/>
      <c r="BM5" s="182"/>
      <c r="BN5" s="182"/>
      <c r="BP5" s="225">
        <f t="shared" si="4"/>
        <v>2</v>
      </c>
      <c r="BQ5" s="182">
        <f t="shared" si="5"/>
        <v>20.799999999999997</v>
      </c>
      <c r="BR5" s="173" t="s">
        <v>217</v>
      </c>
      <c r="BS5" s="226">
        <f t="shared" si="6"/>
        <v>81475.20000000007</v>
      </c>
      <c r="BT5" s="227" t="s">
        <v>335</v>
      </c>
      <c r="BU5" s="227"/>
      <c r="BV5" s="227" t="s">
        <v>335</v>
      </c>
      <c r="BW5" s="227" t="s">
        <v>335</v>
      </c>
      <c r="BX5" s="189" t="s">
        <v>990</v>
      </c>
      <c r="BY5" s="189"/>
      <c r="CA5" s="177" t="s">
        <v>153</v>
      </c>
      <c r="CB5" s="187">
        <v>3677.7</v>
      </c>
      <c r="CC5" s="186">
        <v>7995</v>
      </c>
      <c r="CD5" s="186">
        <v>2</v>
      </c>
      <c r="CE5" s="173">
        <v>6</v>
      </c>
      <c r="CF5" s="173">
        <f t="shared" ref="CF5:CF10" si="7">CE5</f>
        <v>6</v>
      </c>
      <c r="CG5" s="173">
        <f t="shared" ref="CG5:CG10" si="8">CE5/CD5</f>
        <v>3</v>
      </c>
      <c r="CK5" s="173">
        <f t="shared" ref="CK5:CK6" si="9">CD5-AV5</f>
        <v>0</v>
      </c>
    </row>
    <row r="6" spans="1:89" ht="15" customHeight="1">
      <c r="A6" s="177" t="s">
        <v>82</v>
      </c>
      <c r="B6" s="173" t="s">
        <v>564</v>
      </c>
      <c r="C6" s="175">
        <v>121</v>
      </c>
      <c r="D6" s="173" t="s">
        <v>343</v>
      </c>
      <c r="E6" s="177" t="s">
        <v>131</v>
      </c>
      <c r="F6" s="213" t="s">
        <v>980</v>
      </c>
      <c r="G6" s="213" t="s">
        <v>981</v>
      </c>
      <c r="H6" s="213" t="s">
        <v>122</v>
      </c>
      <c r="I6" s="213" t="s">
        <v>997</v>
      </c>
      <c r="J6" s="213" t="s">
        <v>983</v>
      </c>
      <c r="K6" s="214" t="s">
        <v>310</v>
      </c>
      <c r="L6" s="213" t="s">
        <v>998</v>
      </c>
      <c r="M6" s="213" t="s">
        <v>999</v>
      </c>
      <c r="N6" s="213" t="s">
        <v>986</v>
      </c>
      <c r="O6" s="213"/>
      <c r="P6" s="177">
        <v>12</v>
      </c>
      <c r="Q6" s="177">
        <v>11.5</v>
      </c>
      <c r="R6" s="177">
        <v>3.5</v>
      </c>
      <c r="S6" s="215">
        <v>730007000672</v>
      </c>
      <c r="T6" s="177">
        <v>1.91</v>
      </c>
      <c r="U6" s="178">
        <v>0.2795138888888889</v>
      </c>
      <c r="V6" s="216" t="s">
        <v>565</v>
      </c>
      <c r="W6" s="217">
        <v>6</v>
      </c>
      <c r="X6" s="177">
        <v>9.3699999999999992</v>
      </c>
      <c r="Y6" s="177">
        <v>16.75</v>
      </c>
      <c r="Z6" s="177">
        <v>11.87</v>
      </c>
      <c r="AA6" s="177">
        <v>8.93</v>
      </c>
      <c r="AB6" s="178">
        <v>1.0781058015046294</v>
      </c>
      <c r="AC6" s="177">
        <v>12</v>
      </c>
      <c r="AD6" s="177">
        <v>9.8699999999999992</v>
      </c>
      <c r="AE6" s="177">
        <v>17.25</v>
      </c>
      <c r="AF6" s="177">
        <v>24.74</v>
      </c>
      <c r="AG6" s="177">
        <v>19.86</v>
      </c>
      <c r="AM6" s="218" t="s">
        <v>987</v>
      </c>
      <c r="AN6" s="177" t="s">
        <v>988</v>
      </c>
      <c r="AO6" s="177" t="s">
        <v>989</v>
      </c>
      <c r="AQ6" s="281">
        <v>1599</v>
      </c>
      <c r="AR6" s="219">
        <v>22386</v>
      </c>
      <c r="AS6" s="220">
        <v>430.5</v>
      </c>
      <c r="AT6" s="221">
        <v>0.26923076923076922</v>
      </c>
      <c r="AU6" s="222">
        <v>12.52</v>
      </c>
      <c r="AV6" s="189">
        <v>2</v>
      </c>
      <c r="AW6" s="223">
        <f>AV6-W6</f>
        <v>-4</v>
      </c>
      <c r="AX6" s="177">
        <v>9.3699999999999992</v>
      </c>
      <c r="AY6" s="177">
        <v>16.75</v>
      </c>
      <c r="AZ6" s="177">
        <f>11.87/3</f>
        <v>3.9566666666666666</v>
      </c>
      <c r="BA6" s="177">
        <f>8.93/3</f>
        <v>2.9766666666666666</v>
      </c>
      <c r="BG6" s="182">
        <f t="shared" si="0"/>
        <v>7.4285714285714288</v>
      </c>
      <c r="BH6" s="224">
        <f t="shared" si="1"/>
        <v>2.1538461538461537</v>
      </c>
      <c r="BI6" s="182">
        <f t="shared" si="2"/>
        <v>2</v>
      </c>
      <c r="BJ6" s="182">
        <f t="shared" si="3"/>
        <v>2.1538461538461537</v>
      </c>
      <c r="BL6" s="182"/>
      <c r="BM6" s="182"/>
      <c r="BN6" s="182"/>
      <c r="BP6" s="225">
        <f t="shared" si="4"/>
        <v>2.1538461538461537</v>
      </c>
      <c r="BQ6" s="182">
        <f t="shared" si="5"/>
        <v>8</v>
      </c>
      <c r="BR6" s="173" t="s">
        <v>204</v>
      </c>
      <c r="BS6" s="226">
        <f t="shared" si="6"/>
        <v>40038.959999999999</v>
      </c>
      <c r="BT6" s="227" t="s">
        <v>335</v>
      </c>
      <c r="BU6" s="227"/>
      <c r="BV6" s="227" t="s">
        <v>335</v>
      </c>
      <c r="BW6" s="227" t="s">
        <v>335</v>
      </c>
      <c r="BX6" s="189" t="s">
        <v>990</v>
      </c>
      <c r="BY6" s="189"/>
      <c r="CA6" s="177" t="s">
        <v>131</v>
      </c>
      <c r="CB6" s="187">
        <v>3677.7</v>
      </c>
      <c r="CC6" s="186">
        <v>22386</v>
      </c>
      <c r="CD6" s="186">
        <v>2</v>
      </c>
      <c r="CE6" s="173">
        <v>12</v>
      </c>
      <c r="CF6" s="173">
        <f t="shared" si="7"/>
        <v>12</v>
      </c>
      <c r="CG6" s="173">
        <f t="shared" si="8"/>
        <v>6</v>
      </c>
      <c r="CK6" s="173">
        <f t="shared" si="9"/>
        <v>0</v>
      </c>
    </row>
    <row r="7" spans="1:89" ht="15" customHeight="1">
      <c r="A7" s="177" t="s">
        <v>82</v>
      </c>
      <c r="B7" s="173" t="s">
        <v>564</v>
      </c>
      <c r="C7" s="175">
        <v>107</v>
      </c>
      <c r="D7" s="173" t="s">
        <v>515</v>
      </c>
      <c r="E7" s="177" t="s">
        <v>190</v>
      </c>
      <c r="F7" s="213">
        <v>0</v>
      </c>
      <c r="G7" s="213">
        <v>0</v>
      </c>
      <c r="H7" s="213" t="s">
        <v>1000</v>
      </c>
      <c r="I7" s="213" t="s">
        <v>1001</v>
      </c>
      <c r="J7" s="213"/>
      <c r="K7" s="214" t="s">
        <v>401</v>
      </c>
      <c r="L7" s="213"/>
      <c r="M7" s="213"/>
      <c r="N7" s="213" t="s">
        <v>1002</v>
      </c>
      <c r="O7" s="213"/>
      <c r="P7" s="177">
        <v>6</v>
      </c>
      <c r="Q7" s="177">
        <v>12</v>
      </c>
      <c r="R7" s="177">
        <v>12</v>
      </c>
      <c r="S7" s="215">
        <v>730007000153</v>
      </c>
      <c r="T7" s="177" t="s">
        <v>327</v>
      </c>
      <c r="U7" s="178" t="s">
        <v>327</v>
      </c>
      <c r="V7" s="216" t="s">
        <v>568</v>
      </c>
      <c r="W7" s="177" t="s">
        <v>335</v>
      </c>
      <c r="X7" s="177" t="s">
        <v>335</v>
      </c>
      <c r="Y7" s="177" t="s">
        <v>335</v>
      </c>
      <c r="Z7" s="177" t="s">
        <v>335</v>
      </c>
      <c r="AA7" s="177" t="s">
        <v>335</v>
      </c>
      <c r="AB7" s="178" t="e">
        <v>#VALUE!</v>
      </c>
      <c r="AC7" s="217">
        <v>5</v>
      </c>
      <c r="AD7" s="177">
        <v>13.25</v>
      </c>
      <c r="AE7" s="177">
        <v>13.25</v>
      </c>
      <c r="AF7" s="177">
        <v>39.25</v>
      </c>
      <c r="AG7" s="177">
        <v>41.24</v>
      </c>
      <c r="AM7" s="218" t="s">
        <v>987</v>
      </c>
      <c r="AN7" s="177" t="s">
        <v>988</v>
      </c>
      <c r="AO7" s="177" t="s">
        <v>989</v>
      </c>
      <c r="AQ7" s="281">
        <v>1599</v>
      </c>
      <c r="AR7" s="219">
        <v>19188</v>
      </c>
      <c r="AS7" s="220">
        <v>369</v>
      </c>
      <c r="AT7" s="221">
        <v>0.23076923076923078</v>
      </c>
      <c r="AU7" s="222">
        <v>9.1076923076923073</v>
      </c>
      <c r="AV7" s="189">
        <v>2</v>
      </c>
      <c r="AW7" s="223">
        <f t="shared" ref="AW7:AW8" si="10">AV7-AC7</f>
        <v>-3</v>
      </c>
      <c r="AX7" s="177">
        <v>12.75</v>
      </c>
      <c r="AY7" s="177">
        <v>12.75</v>
      </c>
      <c r="AZ7" s="177">
        <v>12.75</v>
      </c>
      <c r="BA7" s="177">
        <v>13.08</v>
      </c>
      <c r="BG7" s="182">
        <f t="shared" si="0"/>
        <v>8.6666666666666661</v>
      </c>
      <c r="BH7" s="224">
        <f t="shared" si="1"/>
        <v>1.8461538461538463</v>
      </c>
      <c r="BI7" s="182">
        <f t="shared" si="2"/>
        <v>2</v>
      </c>
      <c r="BJ7" s="182">
        <f t="shared" si="3"/>
        <v>2</v>
      </c>
      <c r="BL7" s="182"/>
      <c r="BM7" s="182"/>
      <c r="BN7" s="182"/>
      <c r="BP7" s="225">
        <f t="shared" si="4"/>
        <v>2</v>
      </c>
      <c r="BQ7" s="182">
        <f t="shared" si="5"/>
        <v>8.6666666666666661</v>
      </c>
      <c r="BR7" s="173" t="s">
        <v>1003</v>
      </c>
      <c r="BS7" s="226">
        <f t="shared" si="6"/>
        <v>29126.399999999998</v>
      </c>
      <c r="BT7" s="227" t="s">
        <v>335</v>
      </c>
      <c r="BU7" s="227"/>
      <c r="BV7" s="227" t="s">
        <v>335</v>
      </c>
      <c r="BW7" s="227" t="s">
        <v>335</v>
      </c>
      <c r="BX7" s="189" t="s">
        <v>990</v>
      </c>
      <c r="BY7" s="189"/>
      <c r="CA7" s="177" t="s">
        <v>190</v>
      </c>
      <c r="CB7" s="187">
        <v>3677.7</v>
      </c>
      <c r="CC7" s="186">
        <v>19188</v>
      </c>
      <c r="CD7" s="186">
        <v>2</v>
      </c>
      <c r="CE7" s="184">
        <v>5</v>
      </c>
      <c r="CF7" s="173">
        <v>6</v>
      </c>
      <c r="CG7" s="173">
        <f t="shared" si="8"/>
        <v>2.5</v>
      </c>
      <c r="CK7" s="173">
        <f>CD7-AV7</f>
        <v>0</v>
      </c>
    </row>
    <row r="8" spans="1:89" ht="15" customHeight="1">
      <c r="A8" s="177" t="s">
        <v>82</v>
      </c>
      <c r="B8" s="173" t="s">
        <v>564</v>
      </c>
      <c r="C8" s="175">
        <v>87</v>
      </c>
      <c r="D8" s="173" t="s">
        <v>571</v>
      </c>
      <c r="E8" s="177" t="s">
        <v>175</v>
      </c>
      <c r="F8" s="213" t="s">
        <v>1004</v>
      </c>
      <c r="G8" s="213" t="s">
        <v>1005</v>
      </c>
      <c r="H8" s="213" t="s">
        <v>73</v>
      </c>
      <c r="I8" s="213" t="s">
        <v>1006</v>
      </c>
      <c r="J8" s="213" t="s">
        <v>983</v>
      </c>
      <c r="K8" s="214" t="s">
        <v>294</v>
      </c>
      <c r="L8" s="213"/>
      <c r="M8" s="213" t="s">
        <v>1007</v>
      </c>
      <c r="N8" s="213" t="s">
        <v>1008</v>
      </c>
      <c r="O8" s="213" t="s">
        <v>1009</v>
      </c>
      <c r="P8" s="177">
        <v>25.25</v>
      </c>
      <c r="Q8" s="177">
        <v>5</v>
      </c>
      <c r="R8" s="177">
        <v>3</v>
      </c>
      <c r="S8" s="215" t="s">
        <v>885</v>
      </c>
      <c r="T8" s="177">
        <v>4</v>
      </c>
      <c r="U8" s="178">
        <v>0.21918402777777779</v>
      </c>
      <c r="V8" s="216" t="s">
        <v>572</v>
      </c>
      <c r="W8" s="177" t="s">
        <v>335</v>
      </c>
      <c r="X8" s="177" t="s">
        <v>335</v>
      </c>
      <c r="Y8" s="177" t="s">
        <v>335</v>
      </c>
      <c r="Z8" s="177" t="s">
        <v>335</v>
      </c>
      <c r="AA8" s="177" t="s">
        <v>335</v>
      </c>
      <c r="AB8" s="178" t="e">
        <v>#VALUE!</v>
      </c>
      <c r="AC8" s="217">
        <v>12</v>
      </c>
      <c r="AD8" s="177">
        <v>25.75</v>
      </c>
      <c r="AE8" s="177">
        <v>16</v>
      </c>
      <c r="AF8" s="177">
        <v>13</v>
      </c>
      <c r="AG8" s="177">
        <v>50</v>
      </c>
      <c r="AM8" s="218" t="s">
        <v>987</v>
      </c>
      <c r="AN8" s="177" t="s">
        <v>988</v>
      </c>
      <c r="AO8" s="177" t="s">
        <v>989</v>
      </c>
      <c r="AQ8" s="281">
        <v>1599</v>
      </c>
      <c r="AR8" s="219">
        <v>19188</v>
      </c>
      <c r="AS8" s="220">
        <v>369</v>
      </c>
      <c r="AT8" s="221">
        <v>0.23076923076923078</v>
      </c>
      <c r="AU8" s="222">
        <v>10.261538461538459</v>
      </c>
      <c r="AV8" s="189">
        <v>2</v>
      </c>
      <c r="AW8" s="223">
        <f t="shared" si="10"/>
        <v>-10</v>
      </c>
      <c r="AX8" s="177">
        <v>25.25</v>
      </c>
      <c r="AY8" s="177">
        <v>5</v>
      </c>
      <c r="AZ8" s="177">
        <v>6</v>
      </c>
      <c r="BA8" s="177">
        <v>8</v>
      </c>
      <c r="BG8" s="182">
        <f t="shared" si="0"/>
        <v>8.6666666666666661</v>
      </c>
      <c r="BH8" s="224">
        <f t="shared" si="1"/>
        <v>1.8461538461538463</v>
      </c>
      <c r="BI8" s="182">
        <f t="shared" si="2"/>
        <v>2</v>
      </c>
      <c r="BJ8" s="182">
        <f t="shared" si="3"/>
        <v>2</v>
      </c>
      <c r="BL8" s="182"/>
      <c r="BM8" s="182"/>
      <c r="BN8" s="182"/>
      <c r="BP8" s="225">
        <f t="shared" si="4"/>
        <v>2</v>
      </c>
      <c r="BQ8" s="182">
        <f t="shared" si="5"/>
        <v>8.6666666666666661</v>
      </c>
      <c r="BR8" s="173" t="s">
        <v>204</v>
      </c>
      <c r="BS8" s="226">
        <f t="shared" si="6"/>
        <v>32816.399999999994</v>
      </c>
      <c r="BT8" s="227" t="s">
        <v>335</v>
      </c>
      <c r="BU8" s="227"/>
      <c r="BV8" s="227" t="s">
        <v>335</v>
      </c>
      <c r="BW8" s="227" t="s">
        <v>335</v>
      </c>
      <c r="BX8" s="189" t="s">
        <v>990</v>
      </c>
      <c r="BY8" s="189"/>
      <c r="CA8" s="177" t="s">
        <v>175</v>
      </c>
      <c r="CB8" s="187">
        <v>3677.7</v>
      </c>
      <c r="CC8" s="186">
        <v>19188</v>
      </c>
      <c r="CD8" s="186">
        <v>2</v>
      </c>
      <c r="CE8" s="173">
        <v>12</v>
      </c>
      <c r="CF8" s="173">
        <f t="shared" si="7"/>
        <v>12</v>
      </c>
      <c r="CG8" s="173">
        <f t="shared" si="8"/>
        <v>6</v>
      </c>
      <c r="CK8" s="173">
        <f t="shared" ref="CK8:CK10" si="11">CD8-AV8</f>
        <v>0</v>
      </c>
    </row>
    <row r="9" spans="1:89" ht="15" customHeight="1">
      <c r="A9" s="177" t="s">
        <v>82</v>
      </c>
      <c r="B9" s="173" t="s">
        <v>564</v>
      </c>
      <c r="C9" s="175">
        <v>81</v>
      </c>
      <c r="D9" s="173" t="s">
        <v>520</v>
      </c>
      <c r="E9" s="177" t="s">
        <v>192</v>
      </c>
      <c r="F9" s="213"/>
      <c r="G9" s="213" t="s">
        <v>1010</v>
      </c>
      <c r="H9" s="213" t="s">
        <v>73</v>
      </c>
      <c r="I9" s="213" t="s">
        <v>1011</v>
      </c>
      <c r="J9" s="213" t="s">
        <v>1012</v>
      </c>
      <c r="K9" s="214" t="s">
        <v>376</v>
      </c>
      <c r="L9" s="213"/>
      <c r="M9" s="213"/>
      <c r="N9" s="213" t="s">
        <v>1013</v>
      </c>
      <c r="O9" s="213"/>
      <c r="P9" s="177">
        <v>8.5</v>
      </c>
      <c r="Q9" s="177">
        <v>8.5</v>
      </c>
      <c r="R9" s="177">
        <v>4.25</v>
      </c>
      <c r="S9" s="215" t="s">
        <v>896</v>
      </c>
      <c r="T9" s="177">
        <v>3</v>
      </c>
      <c r="U9" s="178">
        <v>0.17769820601851852</v>
      </c>
      <c r="V9" s="173" t="s">
        <v>565</v>
      </c>
      <c r="W9" s="217">
        <v>3</v>
      </c>
      <c r="X9" s="177">
        <v>8.1</v>
      </c>
      <c r="Y9" s="177">
        <v>8.1</v>
      </c>
      <c r="Z9" s="177">
        <v>9.1</v>
      </c>
      <c r="AA9" s="177">
        <v>9.5</v>
      </c>
      <c r="AB9" s="178">
        <v>0.34551562499999994</v>
      </c>
      <c r="AC9" s="177">
        <v>12</v>
      </c>
      <c r="AD9" s="177">
        <v>17.2</v>
      </c>
      <c r="AE9" s="177">
        <v>17.2</v>
      </c>
      <c r="AF9" s="177">
        <v>9.6</v>
      </c>
      <c r="AG9" s="177">
        <v>40</v>
      </c>
      <c r="AM9" s="218" t="s">
        <v>987</v>
      </c>
      <c r="AN9" s="177" t="s">
        <v>988</v>
      </c>
      <c r="AO9" s="177" t="s">
        <v>989</v>
      </c>
      <c r="AQ9" s="281">
        <v>1503</v>
      </c>
      <c r="AR9" s="219">
        <v>7515</v>
      </c>
      <c r="AS9" s="220">
        <v>144.51923076923077</v>
      </c>
      <c r="AT9" s="221">
        <v>9.6153846153846159E-2</v>
      </c>
      <c r="AU9" s="222">
        <v>15.23076923076923</v>
      </c>
      <c r="AV9" s="189">
        <v>3</v>
      </c>
      <c r="AW9" s="223">
        <f>AV9-W9</f>
        <v>0</v>
      </c>
      <c r="AX9" s="177">
        <v>8.1</v>
      </c>
      <c r="AY9" s="177">
        <v>8.1</v>
      </c>
      <c r="AZ9" s="177">
        <v>9.1</v>
      </c>
      <c r="BA9" s="177">
        <v>9.5</v>
      </c>
      <c r="BG9" s="182">
        <f t="shared" si="0"/>
        <v>31.2</v>
      </c>
      <c r="BH9" s="224">
        <f t="shared" si="1"/>
        <v>0.76923076923076927</v>
      </c>
      <c r="BI9" s="182">
        <f t="shared" si="2"/>
        <v>3</v>
      </c>
      <c r="BJ9" s="182">
        <f t="shared" si="3"/>
        <v>3</v>
      </c>
      <c r="BL9" s="182"/>
      <c r="BM9" s="182"/>
      <c r="BN9" s="182"/>
      <c r="BP9" s="225">
        <f t="shared" si="4"/>
        <v>3</v>
      </c>
      <c r="BQ9" s="182">
        <f t="shared" si="5"/>
        <v>31.2</v>
      </c>
      <c r="BR9" s="173" t="s">
        <v>240</v>
      </c>
      <c r="BS9" s="226">
        <f t="shared" si="6"/>
        <v>68675.538461538468</v>
      </c>
      <c r="BT9" s="227" t="s">
        <v>335</v>
      </c>
      <c r="BU9" s="227"/>
      <c r="BV9" s="227"/>
      <c r="BW9" s="227" t="s">
        <v>335</v>
      </c>
      <c r="BX9" s="189" t="s">
        <v>1014</v>
      </c>
      <c r="BY9" s="189"/>
      <c r="CA9" s="177" t="s">
        <v>192</v>
      </c>
      <c r="CB9" s="187">
        <v>5199.1499999999996</v>
      </c>
      <c r="CC9" s="186">
        <v>7515</v>
      </c>
      <c r="CD9" s="186">
        <v>3</v>
      </c>
      <c r="CE9" s="173">
        <v>12</v>
      </c>
      <c r="CF9" s="173">
        <f t="shared" si="7"/>
        <v>12</v>
      </c>
      <c r="CG9" s="173">
        <f t="shared" si="8"/>
        <v>4</v>
      </c>
      <c r="CK9" s="173">
        <f t="shared" si="11"/>
        <v>0</v>
      </c>
    </row>
    <row r="10" spans="1:89" ht="15" customHeight="1">
      <c r="A10" s="177" t="s">
        <v>82</v>
      </c>
      <c r="B10" s="173" t="s">
        <v>564</v>
      </c>
      <c r="C10" s="175">
        <v>132</v>
      </c>
      <c r="D10" s="173" t="s">
        <v>1015</v>
      </c>
      <c r="E10" s="177" t="s">
        <v>165</v>
      </c>
      <c r="F10" s="213" t="s">
        <v>1016</v>
      </c>
      <c r="G10" s="213" t="s">
        <v>1017</v>
      </c>
      <c r="H10" s="213" t="s">
        <v>73</v>
      </c>
      <c r="I10" s="213" t="s">
        <v>1018</v>
      </c>
      <c r="J10" s="213" t="s">
        <v>1019</v>
      </c>
      <c r="K10" s="214" t="s">
        <v>310</v>
      </c>
      <c r="L10" s="213" t="s">
        <v>1020</v>
      </c>
      <c r="M10" s="213" t="s">
        <v>1021</v>
      </c>
      <c r="N10" s="213"/>
      <c r="O10" s="213"/>
      <c r="P10" s="177">
        <v>10</v>
      </c>
      <c r="Q10" s="177">
        <v>14.5</v>
      </c>
      <c r="R10" s="177">
        <v>3.5</v>
      </c>
      <c r="S10" s="215" t="s">
        <v>871</v>
      </c>
      <c r="T10" s="177">
        <v>1.3</v>
      </c>
      <c r="U10" s="178">
        <v>0.29369212962962965</v>
      </c>
      <c r="V10" s="216" t="s">
        <v>565</v>
      </c>
      <c r="W10" s="177" t="s">
        <v>335</v>
      </c>
      <c r="X10" s="177" t="s">
        <v>335</v>
      </c>
      <c r="Y10" s="177" t="s">
        <v>335</v>
      </c>
      <c r="Z10" s="177" t="s">
        <v>335</v>
      </c>
      <c r="AA10" s="177" t="s">
        <v>335</v>
      </c>
      <c r="AB10" s="178" t="e">
        <v>#VALUE!</v>
      </c>
      <c r="AC10" s="217">
        <v>6</v>
      </c>
      <c r="AD10" s="177">
        <v>16.439999999999998</v>
      </c>
      <c r="AE10" s="177">
        <v>11.72</v>
      </c>
      <c r="AF10" s="177">
        <v>12.22</v>
      </c>
      <c r="AG10" s="177">
        <v>9.7799999999999994</v>
      </c>
      <c r="AM10" s="218" t="s">
        <v>987</v>
      </c>
      <c r="AN10" s="177" t="s">
        <v>988</v>
      </c>
      <c r="AO10" s="177" t="s">
        <v>989</v>
      </c>
      <c r="AQ10" s="281">
        <v>1715</v>
      </c>
      <c r="AR10" s="219">
        <v>17150</v>
      </c>
      <c r="AS10" s="220">
        <v>329.80769230769232</v>
      </c>
      <c r="AT10" s="221">
        <v>0.19230769230769232</v>
      </c>
      <c r="AU10" s="222">
        <v>6.3264615384615395</v>
      </c>
      <c r="AV10" s="189">
        <v>2</v>
      </c>
      <c r="AW10" s="223">
        <f t="shared" ref="AW10:AW12" si="12">AV10-AC10</f>
        <v>-4</v>
      </c>
      <c r="AX10" s="177">
        <v>15.94</v>
      </c>
      <c r="AY10" s="177">
        <v>11.22</v>
      </c>
      <c r="AZ10" s="177">
        <f>11.22/3</f>
        <v>3.74</v>
      </c>
      <c r="BA10" s="177">
        <f>7.78/3</f>
        <v>2.5933333333333333</v>
      </c>
      <c r="BG10" s="182">
        <f t="shared" si="0"/>
        <v>10.399999999999999</v>
      </c>
      <c r="BH10" s="224">
        <f t="shared" si="1"/>
        <v>1.5384615384615385</v>
      </c>
      <c r="BI10" s="182">
        <f t="shared" si="2"/>
        <v>2</v>
      </c>
      <c r="BJ10" s="182">
        <f t="shared" si="3"/>
        <v>2</v>
      </c>
      <c r="BL10" s="182"/>
      <c r="BM10" s="182"/>
      <c r="BN10" s="182"/>
      <c r="BP10" s="225">
        <f t="shared" si="4"/>
        <v>2</v>
      </c>
      <c r="BQ10" s="182">
        <f t="shared" si="5"/>
        <v>10.399999999999999</v>
      </c>
      <c r="BR10" s="173" t="s">
        <v>204</v>
      </c>
      <c r="BS10" s="226">
        <f t="shared" si="6"/>
        <v>21699.763076923082</v>
      </c>
      <c r="BT10" s="227" t="s">
        <v>335</v>
      </c>
      <c r="BU10" s="227" t="s">
        <v>335</v>
      </c>
      <c r="BV10" s="227" t="s">
        <v>335</v>
      </c>
      <c r="BW10" s="227" t="s">
        <v>335</v>
      </c>
      <c r="BX10" s="189" t="s">
        <v>990</v>
      </c>
      <c r="BY10" s="189"/>
      <c r="CA10" s="177" t="s">
        <v>165</v>
      </c>
      <c r="CB10" s="187">
        <v>3944.5</v>
      </c>
      <c r="CC10" s="186">
        <v>17150</v>
      </c>
      <c r="CD10" s="186">
        <v>2</v>
      </c>
      <c r="CE10" s="173">
        <v>6</v>
      </c>
      <c r="CF10" s="173">
        <f t="shared" si="7"/>
        <v>6</v>
      </c>
      <c r="CG10" s="173">
        <f t="shared" si="8"/>
        <v>3</v>
      </c>
      <c r="CK10" s="173">
        <f t="shared" si="11"/>
        <v>0</v>
      </c>
    </row>
    <row r="11" spans="1:89" ht="15" hidden="1" customHeight="1">
      <c r="A11" s="177" t="s">
        <v>82</v>
      </c>
      <c r="B11" s="173" t="s">
        <v>564</v>
      </c>
      <c r="C11" s="175">
        <v>131</v>
      </c>
      <c r="D11" s="173" t="s">
        <v>441</v>
      </c>
      <c r="E11" s="177" t="s">
        <v>443</v>
      </c>
      <c r="F11" s="213" t="s">
        <v>1016</v>
      </c>
      <c r="G11" s="213" t="s">
        <v>1017</v>
      </c>
      <c r="H11" s="213"/>
      <c r="I11" s="213" t="s">
        <v>1022</v>
      </c>
      <c r="J11" s="213" t="s">
        <v>1019</v>
      </c>
      <c r="K11" s="214" t="s">
        <v>310</v>
      </c>
      <c r="L11" s="213" t="s">
        <v>1023</v>
      </c>
      <c r="M11" s="213" t="s">
        <v>1024</v>
      </c>
      <c r="N11" s="213"/>
      <c r="O11" s="213"/>
      <c r="P11" s="177">
        <v>10</v>
      </c>
      <c r="Q11" s="177">
        <v>14.5</v>
      </c>
      <c r="R11" s="177">
        <v>3.5</v>
      </c>
      <c r="S11" s="215" t="s">
        <v>870</v>
      </c>
      <c r="T11" s="177">
        <v>2.2999999999999998</v>
      </c>
      <c r="U11" s="178">
        <v>0.29369212962962965</v>
      </c>
      <c r="V11" s="216" t="s">
        <v>565</v>
      </c>
      <c r="W11" s="177" t="s">
        <v>335</v>
      </c>
      <c r="X11" s="177" t="s">
        <v>335</v>
      </c>
      <c r="Y11" s="177" t="s">
        <v>335</v>
      </c>
      <c r="Z11" s="177" t="s">
        <v>335</v>
      </c>
      <c r="AA11" s="177" t="s">
        <v>335</v>
      </c>
      <c r="AB11" s="178" t="e">
        <v>#VALUE!</v>
      </c>
      <c r="AC11" s="217">
        <v>6</v>
      </c>
      <c r="AM11" s="218" t="s">
        <v>987</v>
      </c>
      <c r="AN11" s="177" t="s">
        <v>988</v>
      </c>
      <c r="AO11" s="177" t="s">
        <v>989</v>
      </c>
      <c r="AQ11" s="281">
        <v>1715</v>
      </c>
      <c r="AR11" s="219">
        <v>10290</v>
      </c>
      <c r="AS11" s="220">
        <v>197.88461538461539</v>
      </c>
      <c r="AT11" s="221">
        <v>0.11538461538461539</v>
      </c>
      <c r="AU11" s="222">
        <v>9.1292307692307695</v>
      </c>
      <c r="AV11" s="189">
        <v>2</v>
      </c>
      <c r="AW11" s="223">
        <f t="shared" si="12"/>
        <v>-4</v>
      </c>
      <c r="AX11" s="177">
        <v>15.94</v>
      </c>
      <c r="AY11" s="177">
        <v>11.22</v>
      </c>
      <c r="AZ11" s="177">
        <f>12.79/3</f>
        <v>4.2633333333333328</v>
      </c>
      <c r="BA11" s="177">
        <f>11/3</f>
        <v>3.6666666666666665</v>
      </c>
      <c r="BG11" s="182">
        <f t="shared" si="0"/>
        <v>17.333333333333332</v>
      </c>
      <c r="BH11" s="224">
        <f t="shared" si="1"/>
        <v>0.92307692307692313</v>
      </c>
      <c r="BI11" s="182">
        <f t="shared" si="2"/>
        <v>2</v>
      </c>
      <c r="BJ11" s="182">
        <f t="shared" si="3"/>
        <v>2</v>
      </c>
      <c r="BL11" s="182"/>
      <c r="BM11" s="182"/>
      <c r="BN11" s="182"/>
      <c r="BP11" s="225">
        <f t="shared" si="4"/>
        <v>2</v>
      </c>
      <c r="BQ11" s="182">
        <f t="shared" si="5"/>
        <v>17.333333333333332</v>
      </c>
      <c r="BR11" s="173" t="s">
        <v>204</v>
      </c>
      <c r="BS11" s="226">
        <f t="shared" si="6"/>
        <v>31313.261538461538</v>
      </c>
      <c r="BT11" s="227" t="s">
        <v>335</v>
      </c>
      <c r="BU11" s="227" t="s">
        <v>335</v>
      </c>
      <c r="BV11" s="227" t="s">
        <v>335</v>
      </c>
      <c r="BW11" s="227" t="s">
        <v>335</v>
      </c>
      <c r="BX11" s="189" t="s">
        <v>990</v>
      </c>
      <c r="BY11" s="189"/>
      <c r="CA11" s="177" t="s">
        <v>443</v>
      </c>
      <c r="CB11" s="187" t="e">
        <v>#N/A</v>
      </c>
      <c r="CC11" s="186" t="e">
        <v>#N/A</v>
      </c>
      <c r="CD11" s="186" t="e">
        <v>#N/A</v>
      </c>
      <c r="CE11" s="173" t="e">
        <v>#N/A</v>
      </c>
    </row>
    <row r="12" spans="1:89" ht="15" customHeight="1">
      <c r="A12" s="177" t="s">
        <v>82</v>
      </c>
      <c r="B12" s="173" t="s">
        <v>564</v>
      </c>
      <c r="C12" s="175">
        <v>130</v>
      </c>
      <c r="D12" s="173" t="s">
        <v>444</v>
      </c>
      <c r="E12" s="177" t="s">
        <v>166</v>
      </c>
      <c r="F12" s="213" t="s">
        <v>1016</v>
      </c>
      <c r="G12" s="213" t="s">
        <v>1017</v>
      </c>
      <c r="H12" s="213" t="s">
        <v>73</v>
      </c>
      <c r="I12" s="213" t="s">
        <v>1025</v>
      </c>
      <c r="J12" s="213" t="s">
        <v>1019</v>
      </c>
      <c r="K12" s="214" t="s">
        <v>310</v>
      </c>
      <c r="L12" s="213" t="s">
        <v>1026</v>
      </c>
      <c r="M12" s="213" t="s">
        <v>1027</v>
      </c>
      <c r="N12" s="213"/>
      <c r="O12" s="213"/>
      <c r="P12" s="177">
        <v>8.1300000000000008</v>
      </c>
      <c r="Q12" s="177">
        <v>9</v>
      </c>
      <c r="R12" s="177">
        <v>3.5</v>
      </c>
      <c r="S12" s="215" t="s">
        <v>872</v>
      </c>
      <c r="T12" s="177">
        <v>0.89</v>
      </c>
      <c r="U12" s="178">
        <v>0.14820312500000002</v>
      </c>
      <c r="V12" s="216" t="s">
        <v>565</v>
      </c>
      <c r="W12" s="177" t="s">
        <v>335</v>
      </c>
      <c r="X12" s="177" t="s">
        <v>335</v>
      </c>
      <c r="Y12" s="177" t="s">
        <v>335</v>
      </c>
      <c r="Z12" s="177" t="s">
        <v>335</v>
      </c>
      <c r="AA12" s="177" t="s">
        <v>335</v>
      </c>
      <c r="AB12" s="178" t="e">
        <v>#VALUE!</v>
      </c>
      <c r="AC12" s="217">
        <v>6</v>
      </c>
      <c r="AD12" s="177">
        <v>16.05</v>
      </c>
      <c r="AE12" s="177">
        <v>10.73</v>
      </c>
      <c r="AF12" s="177">
        <v>15.170000000000002</v>
      </c>
      <c r="AG12" s="177">
        <v>7.34</v>
      </c>
      <c r="AM12" s="218" t="s">
        <v>987</v>
      </c>
      <c r="AN12" s="177" t="s">
        <v>988</v>
      </c>
      <c r="AO12" s="177" t="s">
        <v>989</v>
      </c>
      <c r="AQ12" s="281">
        <v>1715</v>
      </c>
      <c r="AR12" s="219">
        <v>17150</v>
      </c>
      <c r="AS12" s="220">
        <v>329.80769230769232</v>
      </c>
      <c r="AT12" s="221">
        <v>0.19230769230769232</v>
      </c>
      <c r="AU12" s="222">
        <v>4.718</v>
      </c>
      <c r="AV12" s="189">
        <v>2</v>
      </c>
      <c r="AW12" s="223">
        <f t="shared" si="12"/>
        <v>-4</v>
      </c>
      <c r="AX12" s="177">
        <v>15.55</v>
      </c>
      <c r="AY12" s="177">
        <v>10.23</v>
      </c>
      <c r="AZ12" s="177">
        <f>14.17/3</f>
        <v>4.7233333333333336</v>
      </c>
      <c r="BA12" s="177">
        <f>5.34/3</f>
        <v>1.78</v>
      </c>
      <c r="BG12" s="182">
        <f t="shared" si="0"/>
        <v>10.399999999999999</v>
      </c>
      <c r="BH12" s="224">
        <f t="shared" si="1"/>
        <v>1.5384615384615385</v>
      </c>
      <c r="BI12" s="182">
        <f t="shared" si="2"/>
        <v>2</v>
      </c>
      <c r="BJ12" s="182">
        <f t="shared" si="3"/>
        <v>2</v>
      </c>
      <c r="BL12" s="182"/>
      <c r="BM12" s="182"/>
      <c r="BN12" s="182"/>
      <c r="BP12" s="225">
        <f t="shared" si="4"/>
        <v>2</v>
      </c>
      <c r="BQ12" s="182">
        <f t="shared" si="5"/>
        <v>10.399999999999999</v>
      </c>
      <c r="BR12" s="173" t="s">
        <v>204</v>
      </c>
      <c r="BS12" s="226">
        <f t="shared" si="6"/>
        <v>16182.74</v>
      </c>
      <c r="BT12" s="227" t="s">
        <v>335</v>
      </c>
      <c r="BU12" s="227" t="s">
        <v>335</v>
      </c>
      <c r="BV12" s="227" t="s">
        <v>335</v>
      </c>
      <c r="BW12" s="227" t="s">
        <v>335</v>
      </c>
      <c r="BX12" s="189" t="s">
        <v>990</v>
      </c>
      <c r="BY12" s="189"/>
      <c r="CA12" s="177" t="s">
        <v>166</v>
      </c>
      <c r="CB12" s="187">
        <v>3944.5</v>
      </c>
      <c r="CC12" s="186">
        <v>17150</v>
      </c>
      <c r="CD12" s="186">
        <v>2</v>
      </c>
      <c r="CE12" s="173">
        <v>6</v>
      </c>
      <c r="CF12" s="173">
        <f t="shared" ref="CF12:CF15" si="13">CE12</f>
        <v>6</v>
      </c>
      <c r="CG12" s="173">
        <f t="shared" ref="CG12:CG15" si="14">CE12/CD12</f>
        <v>3</v>
      </c>
      <c r="CK12" s="173">
        <f t="shared" ref="CK12:CK15" si="15">CD12-AV12</f>
        <v>0</v>
      </c>
    </row>
    <row r="13" spans="1:89" ht="15" customHeight="1">
      <c r="A13" s="177" t="s">
        <v>82</v>
      </c>
      <c r="B13" s="173" t="s">
        <v>564</v>
      </c>
      <c r="C13" s="175">
        <v>102</v>
      </c>
      <c r="D13" s="173" t="s">
        <v>394</v>
      </c>
      <c r="E13" s="177" t="s">
        <v>150</v>
      </c>
      <c r="F13" s="213" t="s">
        <v>1028</v>
      </c>
      <c r="G13" s="213" t="s">
        <v>1029</v>
      </c>
      <c r="H13" s="213" t="s">
        <v>73</v>
      </c>
      <c r="I13" s="213" t="s">
        <v>1030</v>
      </c>
      <c r="J13" s="213" t="s">
        <v>1031</v>
      </c>
      <c r="K13" s="214" t="s">
        <v>88</v>
      </c>
      <c r="L13" s="213" t="s">
        <v>1032</v>
      </c>
      <c r="M13" s="213" t="s">
        <v>1033</v>
      </c>
      <c r="N13" s="213"/>
      <c r="O13" s="213"/>
      <c r="P13" s="177">
        <v>5.7</v>
      </c>
      <c r="Q13" s="177">
        <v>3.65</v>
      </c>
      <c r="R13" s="177">
        <v>1.75</v>
      </c>
      <c r="S13" s="215" t="s">
        <v>860</v>
      </c>
      <c r="T13" s="177">
        <v>0.46</v>
      </c>
      <c r="U13" s="178">
        <v>2.106987847222222E-2</v>
      </c>
      <c r="V13" s="173" t="s">
        <v>565</v>
      </c>
      <c r="W13" s="217">
        <v>6</v>
      </c>
      <c r="X13" s="177">
        <v>4.75</v>
      </c>
      <c r="Y13" s="177">
        <v>8.25</v>
      </c>
      <c r="Z13" s="177">
        <v>6.5</v>
      </c>
      <c r="AA13" s="177">
        <v>2.75</v>
      </c>
      <c r="AB13" s="178">
        <v>0.14740668402777779</v>
      </c>
      <c r="AC13" s="177">
        <v>24</v>
      </c>
      <c r="AD13" s="177">
        <v>10.5</v>
      </c>
      <c r="AE13" s="177">
        <v>8.75</v>
      </c>
      <c r="AF13" s="177">
        <v>14</v>
      </c>
      <c r="AG13" s="177">
        <v>13</v>
      </c>
      <c r="AM13" s="218" t="s">
        <v>987</v>
      </c>
      <c r="AN13" s="177" t="s">
        <v>988</v>
      </c>
      <c r="AO13" s="177" t="s">
        <v>989</v>
      </c>
      <c r="AQ13" s="281">
        <v>1599</v>
      </c>
      <c r="AR13" s="219">
        <v>19188</v>
      </c>
      <c r="AS13" s="220">
        <v>369</v>
      </c>
      <c r="AT13" s="221">
        <v>0.23076923076923078</v>
      </c>
      <c r="AU13" s="222">
        <v>4.2153846153846155</v>
      </c>
      <c r="AV13" s="189">
        <v>3</v>
      </c>
      <c r="AW13" s="223">
        <f>AV13-W13</f>
        <v>-3</v>
      </c>
      <c r="AX13" s="228">
        <v>4.75</v>
      </c>
      <c r="AY13" s="177">
        <v>8.25</v>
      </c>
      <c r="AZ13" s="229">
        <f>6.5/2</f>
        <v>3.25</v>
      </c>
      <c r="BA13" s="177">
        <f>2.75/2</f>
        <v>1.375</v>
      </c>
      <c r="BG13" s="182">
        <f t="shared" si="0"/>
        <v>13</v>
      </c>
      <c r="BH13" s="224">
        <f t="shared" si="1"/>
        <v>1.8461538461538463</v>
      </c>
      <c r="BI13" s="182">
        <f t="shared" si="2"/>
        <v>3</v>
      </c>
      <c r="BJ13" s="182">
        <f t="shared" si="3"/>
        <v>3</v>
      </c>
      <c r="BL13" s="182"/>
      <c r="BM13" s="182"/>
      <c r="BN13" s="182"/>
      <c r="BP13" s="225">
        <f t="shared" si="4"/>
        <v>3</v>
      </c>
      <c r="BQ13" s="182">
        <f t="shared" si="5"/>
        <v>13</v>
      </c>
      <c r="BR13" s="173" t="s">
        <v>204</v>
      </c>
      <c r="BS13" s="226">
        <f t="shared" si="6"/>
        <v>20221.2</v>
      </c>
      <c r="BT13" s="227" t="s">
        <v>335</v>
      </c>
      <c r="BU13" s="227"/>
      <c r="BV13" s="227" t="s">
        <v>335</v>
      </c>
      <c r="BW13" s="227" t="s">
        <v>335</v>
      </c>
      <c r="BX13" s="230" t="s">
        <v>1034</v>
      </c>
      <c r="BY13" s="231" t="s">
        <v>1035</v>
      </c>
      <c r="CA13" s="177" t="s">
        <v>150</v>
      </c>
      <c r="CB13" s="187">
        <v>5516.55</v>
      </c>
      <c r="CC13" s="186">
        <v>19188</v>
      </c>
      <c r="CD13" s="186">
        <v>3</v>
      </c>
      <c r="CE13" s="173">
        <v>24</v>
      </c>
      <c r="CF13" s="173">
        <f t="shared" si="13"/>
        <v>24</v>
      </c>
      <c r="CG13" s="173">
        <f t="shared" si="14"/>
        <v>8</v>
      </c>
      <c r="CK13" s="173">
        <f t="shared" si="15"/>
        <v>0</v>
      </c>
    </row>
    <row r="14" spans="1:89" ht="15" customHeight="1">
      <c r="A14" s="177" t="s">
        <v>82</v>
      </c>
      <c r="B14" s="173" t="s">
        <v>564</v>
      </c>
      <c r="C14" s="175">
        <v>105</v>
      </c>
      <c r="D14" s="173" t="s">
        <v>396</v>
      </c>
      <c r="E14" s="177" t="s">
        <v>151</v>
      </c>
      <c r="F14" s="213" t="s">
        <v>991</v>
      </c>
      <c r="G14" s="213" t="s">
        <v>992</v>
      </c>
      <c r="H14" s="213" t="s">
        <v>73</v>
      </c>
      <c r="I14" s="213" t="s">
        <v>1036</v>
      </c>
      <c r="J14" s="213" t="s">
        <v>1037</v>
      </c>
      <c r="K14" s="214" t="s">
        <v>272</v>
      </c>
      <c r="L14" s="213" t="s">
        <v>1038</v>
      </c>
      <c r="M14" s="213" t="s">
        <v>1039</v>
      </c>
      <c r="N14" s="213"/>
      <c r="O14" s="213"/>
      <c r="P14" s="177">
        <v>12</v>
      </c>
      <c r="Q14" s="177">
        <v>6.25</v>
      </c>
      <c r="R14" s="177">
        <v>2.5</v>
      </c>
      <c r="S14" s="215">
        <v>730007000139</v>
      </c>
      <c r="T14" s="177">
        <v>2</v>
      </c>
      <c r="U14" s="178">
        <v>0.10850694444444445</v>
      </c>
      <c r="V14" s="216" t="s">
        <v>572</v>
      </c>
      <c r="W14" s="217">
        <v>4</v>
      </c>
      <c r="X14" s="177">
        <v>14</v>
      </c>
      <c r="Y14" s="177">
        <v>6.75</v>
      </c>
      <c r="Z14" s="177">
        <v>6.5</v>
      </c>
      <c r="AA14" s="177">
        <v>5.5</v>
      </c>
      <c r="AB14" s="178">
        <v>0.35546875</v>
      </c>
      <c r="AC14" s="177">
        <v>16</v>
      </c>
      <c r="AD14" s="177">
        <v>12.5</v>
      </c>
      <c r="AE14" s="177">
        <v>13.5</v>
      </c>
      <c r="AF14" s="177">
        <v>21</v>
      </c>
      <c r="AG14" s="177">
        <v>34</v>
      </c>
      <c r="AM14" s="218" t="s">
        <v>987</v>
      </c>
      <c r="AN14" s="177" t="s">
        <v>988</v>
      </c>
      <c r="AO14" s="177" t="s">
        <v>989</v>
      </c>
      <c r="AQ14" s="281">
        <v>1599</v>
      </c>
      <c r="AR14" s="219">
        <v>9594</v>
      </c>
      <c r="AS14" s="220">
        <v>184.5</v>
      </c>
      <c r="AT14" s="221">
        <v>0.11538461538461539</v>
      </c>
      <c r="AU14" s="222">
        <v>6.3692307692307688</v>
      </c>
      <c r="AV14" s="189">
        <v>2</v>
      </c>
      <c r="AW14" s="223">
        <f>AV14-W14</f>
        <v>-2</v>
      </c>
      <c r="AX14" s="177">
        <v>12</v>
      </c>
      <c r="AY14" s="177">
        <v>6.25</v>
      </c>
      <c r="AZ14" s="177">
        <v>5</v>
      </c>
      <c r="BA14" s="177">
        <v>4</v>
      </c>
      <c r="BG14" s="182">
        <f t="shared" si="0"/>
        <v>17.333333333333332</v>
      </c>
      <c r="BH14" s="224">
        <f t="shared" si="1"/>
        <v>0.92307692307692313</v>
      </c>
      <c r="BI14" s="182">
        <f t="shared" si="2"/>
        <v>2</v>
      </c>
      <c r="BJ14" s="182">
        <f t="shared" si="3"/>
        <v>2</v>
      </c>
      <c r="BL14" s="182"/>
      <c r="BM14" s="182"/>
      <c r="BN14" s="182"/>
      <c r="BP14" s="225">
        <f t="shared" si="4"/>
        <v>2</v>
      </c>
      <c r="BQ14" s="182">
        <f t="shared" si="5"/>
        <v>17.333333333333332</v>
      </c>
      <c r="BR14" s="173" t="s">
        <v>217</v>
      </c>
      <c r="BS14" s="226">
        <f t="shared" si="6"/>
        <v>20368.8</v>
      </c>
      <c r="BT14" s="227" t="s">
        <v>335</v>
      </c>
      <c r="BU14" s="227"/>
      <c r="BV14" s="227" t="s">
        <v>335</v>
      </c>
      <c r="BW14" s="227" t="s">
        <v>335</v>
      </c>
      <c r="BX14" s="189" t="s">
        <v>990</v>
      </c>
      <c r="BY14" s="189"/>
      <c r="CA14" s="177" t="s">
        <v>151</v>
      </c>
      <c r="CB14" s="187">
        <v>3677.7</v>
      </c>
      <c r="CC14" s="186">
        <v>9594</v>
      </c>
      <c r="CD14" s="186">
        <v>2</v>
      </c>
      <c r="CE14" s="173">
        <v>16</v>
      </c>
      <c r="CF14" s="173">
        <f t="shared" si="13"/>
        <v>16</v>
      </c>
      <c r="CG14" s="173">
        <f t="shared" si="14"/>
        <v>8</v>
      </c>
      <c r="CK14" s="173">
        <f t="shared" si="15"/>
        <v>0</v>
      </c>
    </row>
    <row r="15" spans="1:89" ht="15" customHeight="1">
      <c r="A15" s="177" t="s">
        <v>82</v>
      </c>
      <c r="B15" s="173" t="s">
        <v>564</v>
      </c>
      <c r="C15" s="175">
        <v>85</v>
      </c>
      <c r="D15" s="173" t="s">
        <v>324</v>
      </c>
      <c r="E15" s="177" t="s">
        <v>125</v>
      </c>
      <c r="F15" s="213" t="s">
        <v>1040</v>
      </c>
      <c r="G15" s="213" t="s">
        <v>1041</v>
      </c>
      <c r="H15" s="213" t="s">
        <v>122</v>
      </c>
      <c r="I15" s="213" t="s">
        <v>1042</v>
      </c>
      <c r="J15" s="213" t="s">
        <v>983</v>
      </c>
      <c r="K15" s="214" t="s">
        <v>272</v>
      </c>
      <c r="L15" s="213" t="s">
        <v>1043</v>
      </c>
      <c r="M15" s="213" t="s">
        <v>1044</v>
      </c>
      <c r="N15" s="213"/>
      <c r="O15" s="213"/>
      <c r="P15" s="177">
        <v>6.5</v>
      </c>
      <c r="Q15" s="177">
        <v>6.25</v>
      </c>
      <c r="R15" s="177">
        <v>4.5</v>
      </c>
      <c r="S15" s="215">
        <v>730007000375</v>
      </c>
      <c r="T15" s="177">
        <v>1</v>
      </c>
      <c r="U15" s="178">
        <v>0.10579427083333333</v>
      </c>
      <c r="V15" s="216" t="s">
        <v>572</v>
      </c>
      <c r="W15" s="177" t="s">
        <v>335</v>
      </c>
      <c r="X15" s="177" t="s">
        <v>335</v>
      </c>
      <c r="Y15" s="177" t="s">
        <v>335</v>
      </c>
      <c r="Z15" s="177" t="s">
        <v>335</v>
      </c>
      <c r="AA15" s="177" t="s">
        <v>335</v>
      </c>
      <c r="AB15" s="178" t="e">
        <v>#VALUE!</v>
      </c>
      <c r="AC15" s="217">
        <v>12</v>
      </c>
      <c r="AD15" s="177">
        <v>14</v>
      </c>
      <c r="AE15" s="177">
        <v>19.75</v>
      </c>
      <c r="AF15" s="177">
        <v>9.5</v>
      </c>
      <c r="AG15" s="177">
        <v>14</v>
      </c>
      <c r="AM15" s="218" t="s">
        <v>987</v>
      </c>
      <c r="AN15" s="177" t="s">
        <v>988</v>
      </c>
      <c r="AO15" s="177" t="s">
        <v>989</v>
      </c>
      <c r="AQ15" s="281">
        <v>1503</v>
      </c>
      <c r="AR15" s="219">
        <v>7515</v>
      </c>
      <c r="AS15" s="220">
        <v>144.51923076923077</v>
      </c>
      <c r="AT15" s="221">
        <v>9.6153846153846159E-2</v>
      </c>
      <c r="AU15" s="222">
        <v>6.384615384615385</v>
      </c>
      <c r="AV15" s="189">
        <v>2</v>
      </c>
      <c r="AW15" s="223">
        <f>AV15-AC15</f>
        <v>-10</v>
      </c>
      <c r="AX15" s="229">
        <v>6.5</v>
      </c>
      <c r="AY15" s="177">
        <v>6.25</v>
      </c>
      <c r="AZ15" s="177">
        <v>9</v>
      </c>
      <c r="BA15" s="177">
        <v>2</v>
      </c>
      <c r="BG15" s="182">
        <f t="shared" si="0"/>
        <v>20.799999999999997</v>
      </c>
      <c r="BH15" s="224">
        <f t="shared" si="1"/>
        <v>0.76923076923076927</v>
      </c>
      <c r="BI15" s="182">
        <f t="shared" si="2"/>
        <v>2</v>
      </c>
      <c r="BJ15" s="182">
        <f t="shared" si="3"/>
        <v>2</v>
      </c>
      <c r="BL15" s="182"/>
      <c r="BM15" s="182"/>
      <c r="BN15" s="182"/>
      <c r="BP15" s="225">
        <f t="shared" si="4"/>
        <v>2</v>
      </c>
      <c r="BQ15" s="182">
        <f t="shared" si="5"/>
        <v>20.799999999999997</v>
      </c>
      <c r="BR15" s="173" t="s">
        <v>204</v>
      </c>
      <c r="BS15" s="226">
        <f t="shared" si="6"/>
        <v>19192.153846153848</v>
      </c>
      <c r="BT15" s="227" t="s">
        <v>335</v>
      </c>
      <c r="BU15" s="227"/>
      <c r="BV15" s="227"/>
      <c r="BW15" s="227" t="s">
        <v>335</v>
      </c>
      <c r="BX15" s="189" t="s">
        <v>990</v>
      </c>
      <c r="BY15" s="189"/>
      <c r="CA15" s="177" t="s">
        <v>125</v>
      </c>
      <c r="CB15" s="187">
        <v>3456.9</v>
      </c>
      <c r="CC15" s="186">
        <v>7515</v>
      </c>
      <c r="CD15" s="186">
        <v>2</v>
      </c>
      <c r="CE15" s="173">
        <v>12</v>
      </c>
      <c r="CF15" s="173">
        <f t="shared" si="13"/>
        <v>12</v>
      </c>
      <c r="CG15" s="173">
        <f t="shared" si="14"/>
        <v>6</v>
      </c>
      <c r="CK15" s="173">
        <f t="shared" si="15"/>
        <v>0</v>
      </c>
    </row>
    <row r="16" spans="1:89" ht="15" hidden="1" customHeight="1">
      <c r="A16" s="177" t="s">
        <v>82</v>
      </c>
      <c r="B16" s="173" t="s">
        <v>564</v>
      </c>
      <c r="C16" s="175">
        <v>144</v>
      </c>
      <c r="D16" s="173" t="s">
        <v>576</v>
      </c>
      <c r="E16" s="177" t="s">
        <v>425</v>
      </c>
      <c r="F16" s="213" t="s">
        <v>1045</v>
      </c>
      <c r="G16" s="213" t="s">
        <v>1046</v>
      </c>
      <c r="H16" s="213"/>
      <c r="I16" s="213" t="s">
        <v>1047</v>
      </c>
      <c r="J16" s="213" t="s">
        <v>1048</v>
      </c>
      <c r="K16" s="214" t="s">
        <v>401</v>
      </c>
      <c r="L16" s="213" t="s">
        <v>1049</v>
      </c>
      <c r="M16" s="213" t="s">
        <v>1050</v>
      </c>
      <c r="N16" s="213"/>
      <c r="O16" s="213"/>
      <c r="P16" s="177">
        <v>10.5</v>
      </c>
      <c r="Q16" s="177">
        <v>4.5</v>
      </c>
      <c r="R16" s="177">
        <v>1</v>
      </c>
      <c r="S16" s="215">
        <v>730007000542</v>
      </c>
      <c r="T16" s="177">
        <v>1.1399999999999999</v>
      </c>
      <c r="U16" s="178">
        <v>2.734375E-2</v>
      </c>
      <c r="V16" s="173" t="s">
        <v>577</v>
      </c>
      <c r="W16" s="217">
        <v>10</v>
      </c>
      <c r="X16" s="177">
        <v>5.7</v>
      </c>
      <c r="Y16" s="177">
        <v>16.5</v>
      </c>
      <c r="Z16" s="177">
        <v>12.5</v>
      </c>
      <c r="AA16" s="177">
        <v>11.44</v>
      </c>
      <c r="AB16" s="178">
        <v>0.68033854166666663</v>
      </c>
      <c r="AC16" s="177">
        <v>20</v>
      </c>
      <c r="AM16" s="218" t="s">
        <v>987</v>
      </c>
      <c r="AN16" s="177" t="s">
        <v>988</v>
      </c>
      <c r="AO16" s="177" t="s">
        <v>989</v>
      </c>
      <c r="AQ16" s="281">
        <v>1715</v>
      </c>
      <c r="AR16" s="219">
        <v>82320</v>
      </c>
      <c r="AS16" s="220">
        <v>1583.0769230769231</v>
      </c>
      <c r="AT16" s="221">
        <v>0.92307692307692313</v>
      </c>
      <c r="AU16" s="222">
        <v>1.9424615384615382</v>
      </c>
      <c r="AV16" s="189">
        <v>10</v>
      </c>
      <c r="AW16" s="223">
        <f t="shared" ref="AW16:AW23" si="16">AV16-W16</f>
        <v>0</v>
      </c>
      <c r="AX16" s="177">
        <v>5.7</v>
      </c>
      <c r="AY16" s="177">
        <v>16.5</v>
      </c>
      <c r="AZ16" s="177">
        <v>12.5</v>
      </c>
      <c r="BA16" s="177">
        <v>11.44</v>
      </c>
      <c r="BG16" s="182">
        <f t="shared" si="0"/>
        <v>10.833333333333332</v>
      </c>
      <c r="BH16" s="224">
        <f t="shared" si="1"/>
        <v>7.384615384615385</v>
      </c>
      <c r="BI16" s="182">
        <f t="shared" si="2"/>
        <v>10</v>
      </c>
      <c r="BJ16" s="182">
        <f t="shared" si="3"/>
        <v>10</v>
      </c>
      <c r="BL16" s="182"/>
      <c r="BM16" s="182"/>
      <c r="BN16" s="182"/>
      <c r="BP16" s="225">
        <f t="shared" si="4"/>
        <v>10</v>
      </c>
      <c r="BQ16" s="182">
        <f t="shared" si="5"/>
        <v>10.833333333333332</v>
      </c>
      <c r="BR16" s="173" t="s">
        <v>367</v>
      </c>
      <c r="BS16" s="226">
        <f t="shared" si="6"/>
        <v>33313.215384615381</v>
      </c>
      <c r="BT16" s="227" t="s">
        <v>335</v>
      </c>
      <c r="BU16" s="227" t="s">
        <v>335</v>
      </c>
      <c r="BV16" s="227" t="s">
        <v>335</v>
      </c>
      <c r="BW16" s="227" t="s">
        <v>335</v>
      </c>
      <c r="BX16" s="189" t="s">
        <v>1014</v>
      </c>
      <c r="BY16" s="189"/>
      <c r="CA16" s="177" t="s">
        <v>425</v>
      </c>
      <c r="CB16" s="187" t="e">
        <v>#N/A</v>
      </c>
      <c r="CC16" s="186" t="e">
        <v>#N/A</v>
      </c>
      <c r="CD16" s="186" t="e">
        <v>#N/A</v>
      </c>
      <c r="CE16" s="173" t="e">
        <v>#N/A</v>
      </c>
    </row>
    <row r="17" spans="1:89" ht="15" hidden="1" customHeight="1">
      <c r="A17" s="177" t="s">
        <v>82</v>
      </c>
      <c r="B17" s="173" t="s">
        <v>564</v>
      </c>
      <c r="C17" s="175">
        <v>142</v>
      </c>
      <c r="D17" s="173" t="s">
        <v>578</v>
      </c>
      <c r="E17" s="177" t="s">
        <v>419</v>
      </c>
      <c r="F17" s="213" t="s">
        <v>1045</v>
      </c>
      <c r="G17" s="213" t="s">
        <v>1046</v>
      </c>
      <c r="H17" s="213"/>
      <c r="I17" s="213" t="s">
        <v>1051</v>
      </c>
      <c r="J17" s="213" t="s">
        <v>1048</v>
      </c>
      <c r="K17" s="214" t="s">
        <v>401</v>
      </c>
      <c r="L17" s="213" t="s">
        <v>1052</v>
      </c>
      <c r="M17" s="213" t="s">
        <v>1053</v>
      </c>
      <c r="N17" s="213"/>
      <c r="O17" s="213"/>
      <c r="P17" s="177">
        <v>8.5</v>
      </c>
      <c r="Q17" s="177">
        <v>4.5</v>
      </c>
      <c r="R17" s="177">
        <v>1</v>
      </c>
      <c r="S17" s="215">
        <v>730007000382</v>
      </c>
      <c r="T17" s="177">
        <v>1.1000000000000001</v>
      </c>
      <c r="U17" s="178">
        <v>2.2135416666666668E-2</v>
      </c>
      <c r="V17" s="173" t="s">
        <v>577</v>
      </c>
      <c r="W17" s="217">
        <v>10</v>
      </c>
      <c r="X17" s="177">
        <v>5.7</v>
      </c>
      <c r="Y17" s="177">
        <v>16.149999999999999</v>
      </c>
      <c r="Z17" s="177">
        <v>10.8</v>
      </c>
      <c r="AA17" s="177">
        <v>11</v>
      </c>
      <c r="AB17" s="178">
        <v>0.57534374999999993</v>
      </c>
      <c r="AC17" s="177">
        <v>20</v>
      </c>
      <c r="AM17" s="218" t="s">
        <v>987</v>
      </c>
      <c r="AN17" s="177" t="s">
        <v>988</v>
      </c>
      <c r="AO17" s="177" t="s">
        <v>989</v>
      </c>
      <c r="AQ17" s="281">
        <v>1715</v>
      </c>
      <c r="AR17" s="219">
        <v>42875</v>
      </c>
      <c r="AS17" s="220">
        <v>824.51923076923072</v>
      </c>
      <c r="AT17" s="221">
        <v>0.48076923076923073</v>
      </c>
      <c r="AU17" s="222">
        <v>1.7284615384615383</v>
      </c>
      <c r="AV17" s="189">
        <v>10</v>
      </c>
      <c r="AW17" s="223">
        <f t="shared" si="16"/>
        <v>0</v>
      </c>
      <c r="AX17" s="177">
        <v>5.7</v>
      </c>
      <c r="AY17" s="177">
        <v>16.149999999999999</v>
      </c>
      <c r="AZ17" s="177">
        <v>10.8</v>
      </c>
      <c r="BA17" s="177">
        <v>11</v>
      </c>
      <c r="BG17" s="182">
        <f t="shared" si="0"/>
        <v>20.8</v>
      </c>
      <c r="BH17" s="224">
        <f t="shared" si="1"/>
        <v>3.8461538461538458</v>
      </c>
      <c r="BI17" s="182">
        <f t="shared" si="2"/>
        <v>10</v>
      </c>
      <c r="BJ17" s="182">
        <f t="shared" si="3"/>
        <v>10</v>
      </c>
      <c r="BL17" s="182"/>
      <c r="BM17" s="182"/>
      <c r="BN17" s="182"/>
      <c r="BP17" s="225">
        <f t="shared" si="4"/>
        <v>10</v>
      </c>
      <c r="BQ17" s="182">
        <f t="shared" si="5"/>
        <v>20.8</v>
      </c>
      <c r="BR17" s="173" t="s">
        <v>367</v>
      </c>
      <c r="BS17" s="226">
        <f t="shared" si="6"/>
        <v>29643.115384615379</v>
      </c>
      <c r="BT17" s="227" t="s">
        <v>335</v>
      </c>
      <c r="BU17" s="227" t="s">
        <v>335</v>
      </c>
      <c r="BV17" s="227" t="s">
        <v>335</v>
      </c>
      <c r="BW17" s="227" t="s">
        <v>335</v>
      </c>
      <c r="BX17" s="189" t="s">
        <v>1014</v>
      </c>
      <c r="BY17" s="189"/>
      <c r="CA17" s="177" t="s">
        <v>419</v>
      </c>
      <c r="CB17" s="187" t="e">
        <v>#N/A</v>
      </c>
      <c r="CC17" s="186" t="e">
        <v>#N/A</v>
      </c>
      <c r="CD17" s="186" t="e">
        <v>#N/A</v>
      </c>
      <c r="CE17" s="173" t="e">
        <v>#N/A</v>
      </c>
    </row>
    <row r="18" spans="1:89" ht="15" customHeight="1">
      <c r="A18" s="177" t="s">
        <v>82</v>
      </c>
      <c r="B18" s="173" t="s">
        <v>564</v>
      </c>
      <c r="C18" s="175">
        <v>104</v>
      </c>
      <c r="D18" s="173" t="s">
        <v>266</v>
      </c>
      <c r="E18" s="232" t="s">
        <v>103</v>
      </c>
      <c r="F18" s="213" t="s">
        <v>1016</v>
      </c>
      <c r="G18" s="213" t="s">
        <v>1017</v>
      </c>
      <c r="H18" s="213" t="s">
        <v>73</v>
      </c>
      <c r="I18" s="213" t="s">
        <v>1054</v>
      </c>
      <c r="J18" s="213" t="s">
        <v>1031</v>
      </c>
      <c r="K18" s="214" t="s">
        <v>267</v>
      </c>
      <c r="L18" s="213" t="s">
        <v>1055</v>
      </c>
      <c r="M18" s="213"/>
      <c r="N18" s="213"/>
      <c r="O18" s="213"/>
      <c r="P18" s="177">
        <v>11.75</v>
      </c>
      <c r="Q18" s="177">
        <v>5.125</v>
      </c>
      <c r="R18" s="177">
        <v>2.75</v>
      </c>
      <c r="S18" s="215" t="s">
        <v>828</v>
      </c>
      <c r="T18" s="177">
        <v>0.39</v>
      </c>
      <c r="U18" s="178">
        <v>9.5834237557870364E-2</v>
      </c>
      <c r="V18" s="173" t="s">
        <v>565</v>
      </c>
      <c r="W18" s="217">
        <v>3</v>
      </c>
      <c r="X18" s="177">
        <v>10.3</v>
      </c>
      <c r="Y18" s="177">
        <v>5.3</v>
      </c>
      <c r="Z18" s="177">
        <v>7.75</v>
      </c>
      <c r="AA18" s="177">
        <v>0.68</v>
      </c>
      <c r="AB18" s="178">
        <v>0.24483362268518521</v>
      </c>
      <c r="AC18" s="177">
        <v>48</v>
      </c>
      <c r="AD18" s="177">
        <v>21.6</v>
      </c>
      <c r="AE18" s="177">
        <v>22.2</v>
      </c>
      <c r="AF18" s="177">
        <v>16.5</v>
      </c>
      <c r="AG18" s="177">
        <v>34.64</v>
      </c>
      <c r="AM18" s="218" t="s">
        <v>987</v>
      </c>
      <c r="AN18" s="177" t="s">
        <v>988</v>
      </c>
      <c r="AO18" s="177" t="s">
        <v>989</v>
      </c>
      <c r="AQ18" s="281">
        <v>1599</v>
      </c>
      <c r="AR18" s="219">
        <v>9594</v>
      </c>
      <c r="AS18" s="220">
        <v>184.5</v>
      </c>
      <c r="AT18" s="221">
        <v>0.11538461538461539</v>
      </c>
      <c r="AU18" s="222">
        <v>4.6307692307692303</v>
      </c>
      <c r="AV18" s="189">
        <v>3</v>
      </c>
      <c r="AW18" s="223">
        <f t="shared" si="16"/>
        <v>0</v>
      </c>
      <c r="AX18" s="177">
        <v>10.3</v>
      </c>
      <c r="AY18" s="177">
        <v>5.3</v>
      </c>
      <c r="AZ18" s="177">
        <v>7.75</v>
      </c>
      <c r="BA18" s="229">
        <v>2.04</v>
      </c>
      <c r="BB18" s="229"/>
      <c r="BC18" s="229"/>
      <c r="BD18" s="229"/>
      <c r="BE18" s="229"/>
      <c r="BF18" s="229"/>
      <c r="BG18" s="182">
        <f t="shared" si="0"/>
        <v>26</v>
      </c>
      <c r="BH18" s="224">
        <f t="shared" si="1"/>
        <v>0.92307692307692313</v>
      </c>
      <c r="BI18" s="182">
        <f t="shared" si="2"/>
        <v>3</v>
      </c>
      <c r="BJ18" s="182">
        <f t="shared" si="3"/>
        <v>3</v>
      </c>
      <c r="BL18" s="182"/>
      <c r="BM18" s="182"/>
      <c r="BN18" s="182"/>
      <c r="BP18" s="225">
        <f t="shared" si="4"/>
        <v>3</v>
      </c>
      <c r="BQ18" s="182">
        <f t="shared" si="5"/>
        <v>26</v>
      </c>
      <c r="BR18" s="173" t="s">
        <v>204</v>
      </c>
      <c r="BS18" s="226">
        <f t="shared" si="6"/>
        <v>22213.8</v>
      </c>
      <c r="BT18" s="227" t="s">
        <v>335</v>
      </c>
      <c r="BU18" s="227"/>
      <c r="BV18" s="227" t="s">
        <v>335</v>
      </c>
      <c r="BW18" s="227" t="s">
        <v>335</v>
      </c>
      <c r="BX18" s="189" t="s">
        <v>1014</v>
      </c>
      <c r="BY18" s="189"/>
      <c r="CA18" s="232" t="s">
        <v>103</v>
      </c>
      <c r="CB18" s="187">
        <v>5516.55</v>
      </c>
      <c r="CC18" s="186">
        <v>9594</v>
      </c>
      <c r="CD18" s="186">
        <v>3</v>
      </c>
      <c r="CE18" s="173">
        <v>48</v>
      </c>
      <c r="CF18" s="173">
        <f t="shared" ref="CF18:CF23" si="17">CE18</f>
        <v>48</v>
      </c>
      <c r="CG18" s="173">
        <f t="shared" ref="CG18:CG23" si="18">CE18/CD18</f>
        <v>16</v>
      </c>
      <c r="CK18" s="173">
        <f t="shared" ref="CK18:CK23" si="19">CD18-AV18</f>
        <v>0</v>
      </c>
    </row>
    <row r="19" spans="1:89" ht="15" customHeight="1">
      <c r="A19" s="177" t="s">
        <v>82</v>
      </c>
      <c r="B19" s="173" t="s">
        <v>564</v>
      </c>
      <c r="C19" s="175">
        <v>143</v>
      </c>
      <c r="D19" s="173" t="s">
        <v>580</v>
      </c>
      <c r="E19" s="177" t="s">
        <v>124</v>
      </c>
      <c r="F19" s="213" t="s">
        <v>1056</v>
      </c>
      <c r="G19" s="213" t="s">
        <v>1057</v>
      </c>
      <c r="H19" s="213" t="s">
        <v>73</v>
      </c>
      <c r="I19" s="213" t="s">
        <v>1058</v>
      </c>
      <c r="J19" s="213" t="s">
        <v>1031</v>
      </c>
      <c r="K19" s="214" t="s">
        <v>320</v>
      </c>
      <c r="L19" s="213" t="s">
        <v>1059</v>
      </c>
      <c r="M19" s="213" t="s">
        <v>1060</v>
      </c>
      <c r="N19" s="213"/>
      <c r="O19" s="213"/>
      <c r="P19" s="177">
        <v>13.75</v>
      </c>
      <c r="Q19" s="177">
        <v>3.625</v>
      </c>
      <c r="R19" s="177">
        <v>2.5</v>
      </c>
      <c r="S19" s="215">
        <v>730007000405</v>
      </c>
      <c r="T19" s="177">
        <v>0.5</v>
      </c>
      <c r="U19" s="178">
        <v>7.2111906828703706E-2</v>
      </c>
      <c r="V19" s="173" t="s">
        <v>565</v>
      </c>
      <c r="W19" s="217">
        <v>6</v>
      </c>
      <c r="X19" s="177">
        <v>5.5</v>
      </c>
      <c r="Y19" s="177">
        <v>16.68</v>
      </c>
      <c r="Z19" s="177">
        <v>8.19</v>
      </c>
      <c r="AA19" s="177">
        <v>4.38</v>
      </c>
      <c r="AB19" s="178">
        <v>0.43480937499999994</v>
      </c>
      <c r="AC19" s="177">
        <v>24</v>
      </c>
      <c r="AD19" s="177">
        <v>12</v>
      </c>
      <c r="AE19" s="177">
        <v>17.18</v>
      </c>
      <c r="AF19" s="177">
        <v>17.38</v>
      </c>
      <c r="AG19" s="177">
        <v>19.52</v>
      </c>
      <c r="AM19" s="218" t="s">
        <v>987</v>
      </c>
      <c r="AN19" s="177" t="s">
        <v>988</v>
      </c>
      <c r="AO19" s="177" t="s">
        <v>989</v>
      </c>
      <c r="AQ19" s="281">
        <v>1715</v>
      </c>
      <c r="AR19" s="219">
        <v>17150</v>
      </c>
      <c r="AS19" s="220">
        <v>329.80769230769232</v>
      </c>
      <c r="AT19" s="221">
        <v>0.19230769230769232</v>
      </c>
      <c r="AU19" s="222">
        <v>2.0986153846153845</v>
      </c>
      <c r="AV19" s="189">
        <v>3</v>
      </c>
      <c r="AW19" s="223">
        <f t="shared" si="16"/>
        <v>-3</v>
      </c>
      <c r="AX19" s="177">
        <v>5.5</v>
      </c>
      <c r="AY19" s="177">
        <v>16.68</v>
      </c>
      <c r="AZ19" s="177">
        <f>8.19/2</f>
        <v>4.0949999999999998</v>
      </c>
      <c r="BA19" s="177">
        <f>4.38/2</f>
        <v>2.19</v>
      </c>
      <c r="BG19" s="182">
        <f t="shared" si="0"/>
        <v>15.6</v>
      </c>
      <c r="BH19" s="224">
        <f t="shared" si="1"/>
        <v>1.5384615384615385</v>
      </c>
      <c r="BI19" s="182">
        <f t="shared" si="2"/>
        <v>3</v>
      </c>
      <c r="BJ19" s="182">
        <f t="shared" si="3"/>
        <v>3</v>
      </c>
      <c r="BL19" s="182"/>
      <c r="BM19" s="182"/>
      <c r="BN19" s="182"/>
      <c r="BP19" s="225">
        <f t="shared" si="4"/>
        <v>3</v>
      </c>
      <c r="BQ19" s="182">
        <f t="shared" si="5"/>
        <v>15.6</v>
      </c>
      <c r="BR19" s="173" t="s">
        <v>204</v>
      </c>
      <c r="BS19" s="226">
        <f t="shared" si="6"/>
        <v>10797.376153846153</v>
      </c>
      <c r="BT19" s="227" t="s">
        <v>335</v>
      </c>
      <c r="BU19" s="227" t="s">
        <v>335</v>
      </c>
      <c r="BV19" s="227" t="s">
        <v>335</v>
      </c>
      <c r="BW19" s="227" t="s">
        <v>335</v>
      </c>
      <c r="BX19" s="189" t="s">
        <v>990</v>
      </c>
      <c r="BY19" s="189"/>
      <c r="CA19" s="177" t="s">
        <v>124</v>
      </c>
      <c r="CB19" s="187">
        <v>5916.75</v>
      </c>
      <c r="CC19" s="186">
        <v>17150</v>
      </c>
      <c r="CD19" s="186">
        <v>3</v>
      </c>
      <c r="CE19" s="173">
        <v>24</v>
      </c>
      <c r="CF19" s="173">
        <f t="shared" si="17"/>
        <v>24</v>
      </c>
      <c r="CG19" s="173">
        <f t="shared" si="18"/>
        <v>8</v>
      </c>
      <c r="CK19" s="173">
        <f t="shared" si="19"/>
        <v>0</v>
      </c>
    </row>
    <row r="20" spans="1:89" ht="15" customHeight="1">
      <c r="A20" s="177" t="s">
        <v>82</v>
      </c>
      <c r="B20" s="173" t="s">
        <v>564</v>
      </c>
      <c r="C20" s="175">
        <v>129</v>
      </c>
      <c r="D20" s="173" t="s">
        <v>378</v>
      </c>
      <c r="E20" s="232" t="s">
        <v>144</v>
      </c>
      <c r="F20" s="213" t="s">
        <v>1056</v>
      </c>
      <c r="G20" s="213" t="s">
        <v>1057</v>
      </c>
      <c r="H20" s="213" t="s">
        <v>73</v>
      </c>
      <c r="I20" s="213" t="s">
        <v>1061</v>
      </c>
      <c r="J20" s="213" t="s">
        <v>1031</v>
      </c>
      <c r="K20" s="214" t="s">
        <v>376</v>
      </c>
      <c r="L20" s="213" t="s">
        <v>1062</v>
      </c>
      <c r="M20" s="213" t="s">
        <v>1063</v>
      </c>
      <c r="N20" s="213"/>
      <c r="O20" s="213"/>
      <c r="P20" s="177">
        <v>8.5</v>
      </c>
      <c r="Q20" s="177">
        <v>8.5</v>
      </c>
      <c r="R20" s="177">
        <v>2.5</v>
      </c>
      <c r="S20" s="215" t="s">
        <v>853</v>
      </c>
      <c r="T20" s="177">
        <v>0.53</v>
      </c>
      <c r="U20" s="178">
        <v>0.10452835648148148</v>
      </c>
      <c r="V20" s="173" t="s">
        <v>565</v>
      </c>
      <c r="W20" s="217">
        <v>3</v>
      </c>
      <c r="X20" s="177">
        <v>8.1</v>
      </c>
      <c r="Y20" s="177">
        <v>8.1</v>
      </c>
      <c r="Z20" s="177">
        <v>9.1</v>
      </c>
      <c r="AA20" s="177">
        <v>4.9400000000000004</v>
      </c>
      <c r="AB20" s="178">
        <v>0.34551562499999994</v>
      </c>
      <c r="AC20" s="177">
        <v>12</v>
      </c>
      <c r="AD20" s="177">
        <v>17.2</v>
      </c>
      <c r="AE20" s="177">
        <v>17.2</v>
      </c>
      <c r="AF20" s="177">
        <v>9.6</v>
      </c>
      <c r="AG20" s="177">
        <v>21.76</v>
      </c>
      <c r="AM20" s="218" t="s">
        <v>987</v>
      </c>
      <c r="AN20" s="177" t="s">
        <v>988</v>
      </c>
      <c r="AO20" s="177" t="s">
        <v>989</v>
      </c>
      <c r="AQ20" s="281">
        <v>1715</v>
      </c>
      <c r="AR20" s="219">
        <v>32585</v>
      </c>
      <c r="AS20" s="220">
        <v>626.63461538461536</v>
      </c>
      <c r="AT20" s="221">
        <v>0.36538461538461536</v>
      </c>
      <c r="AU20" s="222">
        <v>2.2460000000000004</v>
      </c>
      <c r="AV20" s="189">
        <v>3</v>
      </c>
      <c r="AW20" s="223">
        <f t="shared" si="16"/>
        <v>0</v>
      </c>
      <c r="AX20" s="177">
        <v>8.1</v>
      </c>
      <c r="AY20" s="177">
        <v>8.1</v>
      </c>
      <c r="AZ20" s="177">
        <v>9.1</v>
      </c>
      <c r="BA20" s="177">
        <v>4.9400000000000004</v>
      </c>
      <c r="BG20" s="182">
        <f t="shared" si="0"/>
        <v>8.2105263157894743</v>
      </c>
      <c r="BH20" s="224">
        <f t="shared" si="1"/>
        <v>2.9230769230769229</v>
      </c>
      <c r="BI20" s="182">
        <f t="shared" si="2"/>
        <v>3</v>
      </c>
      <c r="BJ20" s="182">
        <f t="shared" si="3"/>
        <v>3</v>
      </c>
      <c r="BL20" s="182"/>
      <c r="BM20" s="182"/>
      <c r="BN20" s="182"/>
      <c r="BP20" s="225">
        <f t="shared" si="4"/>
        <v>3</v>
      </c>
      <c r="BQ20" s="182">
        <f t="shared" si="5"/>
        <v>8.2105263157894743</v>
      </c>
      <c r="BR20" s="173" t="s">
        <v>204</v>
      </c>
      <c r="BS20" s="226">
        <f t="shared" si="6"/>
        <v>11555.670000000002</v>
      </c>
      <c r="BT20" s="227" t="s">
        <v>335</v>
      </c>
      <c r="BU20" s="227" t="s">
        <v>335</v>
      </c>
      <c r="BV20" s="227" t="s">
        <v>335</v>
      </c>
      <c r="BW20" s="227" t="s">
        <v>335</v>
      </c>
      <c r="BX20" s="189" t="s">
        <v>1014</v>
      </c>
      <c r="BY20" s="189"/>
      <c r="CA20" s="232" t="s">
        <v>144</v>
      </c>
      <c r="CB20" s="187">
        <v>5916.75</v>
      </c>
      <c r="CC20" s="186">
        <v>32585</v>
      </c>
      <c r="CD20" s="186">
        <v>3</v>
      </c>
      <c r="CE20" s="173">
        <v>12</v>
      </c>
      <c r="CF20" s="173">
        <f t="shared" si="17"/>
        <v>12</v>
      </c>
      <c r="CG20" s="173">
        <f t="shared" si="18"/>
        <v>4</v>
      </c>
      <c r="CK20" s="173">
        <f t="shared" si="19"/>
        <v>0</v>
      </c>
    </row>
    <row r="21" spans="1:89" ht="15" customHeight="1">
      <c r="A21" s="177" t="s">
        <v>82</v>
      </c>
      <c r="B21" s="173" t="s">
        <v>564</v>
      </c>
      <c r="C21" s="175">
        <v>95</v>
      </c>
      <c r="D21" s="173" t="s">
        <v>405</v>
      </c>
      <c r="E21" s="177" t="s">
        <v>155</v>
      </c>
      <c r="F21" s="213" t="s">
        <v>991</v>
      </c>
      <c r="G21" s="213" t="s">
        <v>992</v>
      </c>
      <c r="H21" s="213" t="s">
        <v>73</v>
      </c>
      <c r="I21" s="213" t="s">
        <v>1064</v>
      </c>
      <c r="J21" s="213" t="s">
        <v>1037</v>
      </c>
      <c r="K21" s="214" t="s">
        <v>294</v>
      </c>
      <c r="L21" s="213" t="s">
        <v>1065</v>
      </c>
      <c r="M21" s="213" t="s">
        <v>1066</v>
      </c>
      <c r="N21" s="213"/>
      <c r="O21" s="213"/>
      <c r="P21" s="177">
        <v>9.5</v>
      </c>
      <c r="Q21" s="177">
        <v>5</v>
      </c>
      <c r="R21" s="177">
        <v>2</v>
      </c>
      <c r="S21" s="215" t="s">
        <v>863</v>
      </c>
      <c r="T21" s="177">
        <v>0.6</v>
      </c>
      <c r="U21" s="178">
        <v>5.4976851851851853E-2</v>
      </c>
      <c r="V21" s="216" t="s">
        <v>572</v>
      </c>
      <c r="W21" s="217">
        <v>6</v>
      </c>
      <c r="X21" s="177">
        <v>11.25</v>
      </c>
      <c r="Y21" s="177">
        <v>5</v>
      </c>
      <c r="Z21" s="177">
        <v>7.5</v>
      </c>
      <c r="AA21" s="177">
        <v>3.88</v>
      </c>
      <c r="AB21" s="178">
        <v>0.244140625</v>
      </c>
      <c r="AC21" s="177">
        <v>24</v>
      </c>
      <c r="AD21" s="177">
        <v>11.75</v>
      </c>
      <c r="AE21" s="177">
        <v>11</v>
      </c>
      <c r="AF21" s="177">
        <v>16</v>
      </c>
      <c r="AG21" s="177">
        <v>17.52</v>
      </c>
      <c r="AM21" s="218" t="s">
        <v>987</v>
      </c>
      <c r="AN21" s="177" t="s">
        <v>988</v>
      </c>
      <c r="AO21" s="177" t="s">
        <v>989</v>
      </c>
      <c r="AQ21" s="281">
        <v>1599</v>
      </c>
      <c r="AR21" s="219">
        <v>7995</v>
      </c>
      <c r="AS21" s="220">
        <v>153.75</v>
      </c>
      <c r="AT21" s="221">
        <v>9.6153846153846159E-2</v>
      </c>
      <c r="AU21" s="222">
        <v>4.7076923076923078</v>
      </c>
      <c r="AV21" s="189">
        <v>2</v>
      </c>
      <c r="AW21" s="223">
        <f t="shared" si="16"/>
        <v>-4</v>
      </c>
      <c r="AX21" s="177">
        <v>11.25</v>
      </c>
      <c r="AY21" s="177">
        <v>5</v>
      </c>
      <c r="AZ21" s="177">
        <f>(7.5/6)*2</f>
        <v>2.5</v>
      </c>
      <c r="BA21" s="177">
        <f>(3.88/6)*2</f>
        <v>1.2933333333333332</v>
      </c>
      <c r="BG21" s="182">
        <f t="shared" si="0"/>
        <v>20.799999999999997</v>
      </c>
      <c r="BH21" s="224">
        <f t="shared" si="1"/>
        <v>0.76923076923076927</v>
      </c>
      <c r="BI21" s="182">
        <f t="shared" si="2"/>
        <v>2</v>
      </c>
      <c r="BJ21" s="182">
        <f t="shared" si="3"/>
        <v>2</v>
      </c>
      <c r="BL21" s="182"/>
      <c r="BM21" s="182"/>
      <c r="BN21" s="182"/>
      <c r="BP21" s="225">
        <f t="shared" si="4"/>
        <v>2</v>
      </c>
      <c r="BQ21" s="182">
        <f t="shared" si="5"/>
        <v>20.799999999999997</v>
      </c>
      <c r="BR21" s="173" t="s">
        <v>217</v>
      </c>
      <c r="BS21" s="226">
        <f t="shared" si="6"/>
        <v>15055.2</v>
      </c>
      <c r="BT21" s="227" t="s">
        <v>335</v>
      </c>
      <c r="BU21" s="227"/>
      <c r="BV21" s="227" t="s">
        <v>335</v>
      </c>
      <c r="BW21" s="227" t="s">
        <v>335</v>
      </c>
      <c r="BX21" s="189" t="s">
        <v>990</v>
      </c>
      <c r="BY21" s="189"/>
      <c r="CA21" s="177" t="s">
        <v>155</v>
      </c>
      <c r="CB21" s="187">
        <v>3677.7</v>
      </c>
      <c r="CC21" s="186">
        <v>7995</v>
      </c>
      <c r="CD21" s="186">
        <v>2</v>
      </c>
      <c r="CE21" s="173">
        <v>24</v>
      </c>
      <c r="CF21" s="173">
        <f t="shared" si="17"/>
        <v>24</v>
      </c>
      <c r="CG21" s="173">
        <f t="shared" si="18"/>
        <v>12</v>
      </c>
      <c r="CK21" s="173">
        <f t="shared" si="19"/>
        <v>0</v>
      </c>
    </row>
    <row r="22" spans="1:89" ht="15" customHeight="1">
      <c r="A22" s="177" t="s">
        <v>82</v>
      </c>
      <c r="B22" s="173" t="s">
        <v>564</v>
      </c>
      <c r="C22" s="175">
        <v>94</v>
      </c>
      <c r="D22" s="173" t="s">
        <v>403</v>
      </c>
      <c r="E22" s="177" t="s">
        <v>154</v>
      </c>
      <c r="F22" s="213" t="s">
        <v>991</v>
      </c>
      <c r="G22" s="213" t="s">
        <v>992</v>
      </c>
      <c r="H22" s="213" t="s">
        <v>73</v>
      </c>
      <c r="I22" s="213" t="s">
        <v>1067</v>
      </c>
      <c r="J22" s="213" t="s">
        <v>1037</v>
      </c>
      <c r="K22" s="214" t="s">
        <v>294</v>
      </c>
      <c r="L22" s="213" t="s">
        <v>1068</v>
      </c>
      <c r="M22" s="213" t="s">
        <v>1069</v>
      </c>
      <c r="N22" s="213"/>
      <c r="O22" s="213"/>
      <c r="P22" s="177">
        <v>9.5</v>
      </c>
      <c r="Q22" s="177">
        <v>5</v>
      </c>
      <c r="R22" s="177">
        <v>2</v>
      </c>
      <c r="S22" s="215" t="s">
        <v>862</v>
      </c>
      <c r="T22" s="177">
        <v>0.6</v>
      </c>
      <c r="U22" s="178">
        <v>5.4976851851851853E-2</v>
      </c>
      <c r="V22" s="216" t="s">
        <v>572</v>
      </c>
      <c r="W22" s="217">
        <v>6</v>
      </c>
      <c r="X22" s="177">
        <v>11.25</v>
      </c>
      <c r="Y22" s="177">
        <v>5</v>
      </c>
      <c r="Z22" s="177">
        <v>7.5</v>
      </c>
      <c r="AA22" s="177">
        <v>3.88</v>
      </c>
      <c r="AB22" s="178">
        <v>0.244140625</v>
      </c>
      <c r="AC22" s="177">
        <v>24</v>
      </c>
      <c r="AD22" s="177">
        <v>11.75</v>
      </c>
      <c r="AE22" s="177">
        <v>11</v>
      </c>
      <c r="AF22" s="177">
        <v>16</v>
      </c>
      <c r="AG22" s="177">
        <v>17.52</v>
      </c>
      <c r="AM22" s="218" t="s">
        <v>987</v>
      </c>
      <c r="AN22" s="177" t="s">
        <v>988</v>
      </c>
      <c r="AO22" s="177" t="s">
        <v>989</v>
      </c>
      <c r="AQ22" s="281">
        <v>1599</v>
      </c>
      <c r="AR22" s="219">
        <v>12792</v>
      </c>
      <c r="AS22" s="220">
        <v>246</v>
      </c>
      <c r="AT22" s="221">
        <v>0.15384615384615385</v>
      </c>
      <c r="AU22" s="222">
        <v>4.2769230769230768</v>
      </c>
      <c r="AV22" s="189">
        <v>2</v>
      </c>
      <c r="AW22" s="223">
        <f t="shared" si="16"/>
        <v>-4</v>
      </c>
      <c r="AX22" s="177">
        <v>11.25</v>
      </c>
      <c r="AY22" s="177">
        <v>5</v>
      </c>
      <c r="AZ22" s="177">
        <f>(7.5/6)*2</f>
        <v>2.5</v>
      </c>
      <c r="BA22" s="177">
        <f>(3.88/6)*2</f>
        <v>1.2933333333333332</v>
      </c>
      <c r="BG22" s="182">
        <f t="shared" si="0"/>
        <v>13</v>
      </c>
      <c r="BH22" s="224">
        <f t="shared" si="1"/>
        <v>1.2307692307692308</v>
      </c>
      <c r="BI22" s="182">
        <f t="shared" si="2"/>
        <v>2</v>
      </c>
      <c r="BJ22" s="182">
        <f t="shared" si="3"/>
        <v>2</v>
      </c>
      <c r="BL22" s="182"/>
      <c r="BM22" s="182"/>
      <c r="BN22" s="182"/>
      <c r="BP22" s="225">
        <f t="shared" si="4"/>
        <v>2</v>
      </c>
      <c r="BQ22" s="182">
        <f t="shared" si="5"/>
        <v>13</v>
      </c>
      <c r="BR22" s="173" t="s">
        <v>217</v>
      </c>
      <c r="BS22" s="226">
        <f t="shared" si="6"/>
        <v>13677.6</v>
      </c>
      <c r="BT22" s="227" t="s">
        <v>335</v>
      </c>
      <c r="BU22" s="227"/>
      <c r="BV22" s="227" t="s">
        <v>335</v>
      </c>
      <c r="BW22" s="227" t="s">
        <v>335</v>
      </c>
      <c r="BX22" s="189" t="s">
        <v>990</v>
      </c>
      <c r="BY22" s="189"/>
      <c r="CA22" s="177" t="s">
        <v>154</v>
      </c>
      <c r="CB22" s="187">
        <v>3677.7</v>
      </c>
      <c r="CC22" s="186">
        <v>12792</v>
      </c>
      <c r="CD22" s="186">
        <v>2</v>
      </c>
      <c r="CE22" s="173">
        <v>24</v>
      </c>
      <c r="CF22" s="173">
        <f t="shared" si="17"/>
        <v>24</v>
      </c>
      <c r="CG22" s="173">
        <f t="shared" si="18"/>
        <v>12</v>
      </c>
      <c r="CK22" s="173">
        <f t="shared" si="19"/>
        <v>0</v>
      </c>
    </row>
    <row r="23" spans="1:89" ht="15" customHeight="1">
      <c r="A23" s="177" t="s">
        <v>82</v>
      </c>
      <c r="B23" s="173" t="s">
        <v>564</v>
      </c>
      <c r="C23" s="175">
        <v>93</v>
      </c>
      <c r="D23" s="173" t="s">
        <v>375</v>
      </c>
      <c r="E23" s="232" t="s">
        <v>143</v>
      </c>
      <c r="F23" s="213" t="s">
        <v>1056</v>
      </c>
      <c r="G23" s="213" t="s">
        <v>1057</v>
      </c>
      <c r="H23" s="213" t="s">
        <v>73</v>
      </c>
      <c r="I23" s="213" t="s">
        <v>1070</v>
      </c>
      <c r="J23" s="213" t="s">
        <v>1031</v>
      </c>
      <c r="K23" s="214" t="s">
        <v>376</v>
      </c>
      <c r="L23" s="213" t="s">
        <v>1071</v>
      </c>
      <c r="M23" s="213" t="s">
        <v>1072</v>
      </c>
      <c r="N23" s="213"/>
      <c r="O23" s="213"/>
      <c r="P23" s="177">
        <v>8.5</v>
      </c>
      <c r="Q23" s="177">
        <v>8.5</v>
      </c>
      <c r="R23" s="177">
        <v>2.5</v>
      </c>
      <c r="S23" s="215" t="s">
        <v>852</v>
      </c>
      <c r="T23" s="177">
        <v>0.53</v>
      </c>
      <c r="U23" s="178">
        <v>0.10452835648148148</v>
      </c>
      <c r="V23" s="216" t="s">
        <v>565</v>
      </c>
      <c r="W23" s="217">
        <v>3</v>
      </c>
      <c r="X23" s="177">
        <v>8.1</v>
      </c>
      <c r="Y23" s="177">
        <v>8.1</v>
      </c>
      <c r="Z23" s="177">
        <v>9.1</v>
      </c>
      <c r="AA23" s="177">
        <v>4.9400000000000004</v>
      </c>
      <c r="AB23" s="178">
        <v>0.34551562499999994</v>
      </c>
      <c r="AC23" s="177">
        <v>12</v>
      </c>
      <c r="AD23" s="177">
        <v>17.2</v>
      </c>
      <c r="AE23" s="177">
        <v>17.2</v>
      </c>
      <c r="AF23" s="177">
        <v>9.6</v>
      </c>
      <c r="AG23" s="177">
        <v>21.76</v>
      </c>
      <c r="AM23" s="218" t="s">
        <v>987</v>
      </c>
      <c r="AN23" s="177" t="s">
        <v>988</v>
      </c>
      <c r="AO23" s="177" t="s">
        <v>989</v>
      </c>
      <c r="AQ23" s="281">
        <v>1599</v>
      </c>
      <c r="AR23" s="219">
        <v>15990</v>
      </c>
      <c r="AS23" s="220">
        <v>307.5</v>
      </c>
      <c r="AT23" s="221">
        <v>0.19230769230769232</v>
      </c>
      <c r="AU23" s="222">
        <v>2.2846153846153845</v>
      </c>
      <c r="AV23" s="189">
        <v>3</v>
      </c>
      <c r="AW23" s="223">
        <f t="shared" si="16"/>
        <v>0</v>
      </c>
      <c r="AX23" s="177">
        <v>8.1</v>
      </c>
      <c r="AY23" s="177">
        <v>8.1</v>
      </c>
      <c r="AZ23" s="177">
        <v>9.1</v>
      </c>
      <c r="BA23" s="177">
        <v>4.9400000000000004</v>
      </c>
      <c r="BG23" s="182">
        <f t="shared" si="0"/>
        <v>15.6</v>
      </c>
      <c r="BH23" s="224">
        <f t="shared" si="1"/>
        <v>1.5384615384615385</v>
      </c>
      <c r="BI23" s="182">
        <f t="shared" si="2"/>
        <v>3</v>
      </c>
      <c r="BJ23" s="182">
        <f t="shared" si="3"/>
        <v>3</v>
      </c>
      <c r="BL23" s="182"/>
      <c r="BM23" s="182"/>
      <c r="BN23" s="182"/>
      <c r="BP23" s="225">
        <f t="shared" si="4"/>
        <v>3</v>
      </c>
      <c r="BQ23" s="182">
        <f t="shared" si="5"/>
        <v>15.6</v>
      </c>
      <c r="BR23" s="173" t="s">
        <v>204</v>
      </c>
      <c r="BS23" s="226">
        <f t="shared" si="6"/>
        <v>10959.3</v>
      </c>
      <c r="BT23" s="227" t="s">
        <v>335</v>
      </c>
      <c r="BU23" s="227"/>
      <c r="BV23" s="227" t="s">
        <v>335</v>
      </c>
      <c r="BW23" s="227" t="s">
        <v>335</v>
      </c>
      <c r="BX23" s="189" t="s">
        <v>1014</v>
      </c>
      <c r="BY23" s="189"/>
      <c r="CA23" s="232" t="s">
        <v>143</v>
      </c>
      <c r="CB23" s="187">
        <v>5516.55</v>
      </c>
      <c r="CC23" s="186">
        <v>15990</v>
      </c>
      <c r="CD23" s="186">
        <v>3</v>
      </c>
      <c r="CE23" s="173">
        <v>12</v>
      </c>
      <c r="CF23" s="173">
        <f t="shared" si="17"/>
        <v>12</v>
      </c>
      <c r="CG23" s="173">
        <f t="shared" si="18"/>
        <v>4</v>
      </c>
      <c r="CK23" s="173">
        <f t="shared" si="19"/>
        <v>0</v>
      </c>
    </row>
    <row r="24" spans="1:89" ht="15" hidden="1" customHeight="1">
      <c r="A24" s="177" t="s">
        <v>1073</v>
      </c>
      <c r="B24" s="233" t="s">
        <v>564</v>
      </c>
      <c r="C24" s="234">
        <v>124</v>
      </c>
      <c r="D24" s="233" t="s">
        <v>581</v>
      </c>
      <c r="E24" s="235" t="s">
        <v>308</v>
      </c>
      <c r="F24" s="213" t="s">
        <v>1074</v>
      </c>
      <c r="G24" s="213" t="s">
        <v>1075</v>
      </c>
      <c r="H24" s="213"/>
      <c r="I24" s="213"/>
      <c r="J24" s="213"/>
      <c r="K24" s="214"/>
      <c r="L24" s="213"/>
      <c r="M24" s="213"/>
      <c r="N24" s="213"/>
      <c r="O24" s="213"/>
      <c r="P24" s="235">
        <v>7.87</v>
      </c>
      <c r="Q24" s="235">
        <v>5</v>
      </c>
      <c r="R24" s="235">
        <v>3</v>
      </c>
      <c r="S24" s="215" t="s">
        <v>839</v>
      </c>
      <c r="T24" s="235">
        <v>0.62</v>
      </c>
      <c r="U24" s="236">
        <v>6.8315972222222229E-2</v>
      </c>
      <c r="V24" s="233" t="s">
        <v>565</v>
      </c>
      <c r="W24" s="235" t="s">
        <v>335</v>
      </c>
      <c r="X24" s="235" t="s">
        <v>335</v>
      </c>
      <c r="Y24" s="235" t="s">
        <v>335</v>
      </c>
      <c r="Z24" s="235" t="s">
        <v>335</v>
      </c>
      <c r="AA24" s="235" t="s">
        <v>335</v>
      </c>
      <c r="AB24" s="236" t="e">
        <v>#VALUE!</v>
      </c>
      <c r="AC24" s="235">
        <v>12</v>
      </c>
      <c r="AD24" s="235"/>
      <c r="AE24" s="235"/>
      <c r="AF24" s="235"/>
      <c r="AG24" s="235"/>
      <c r="AH24" s="235"/>
      <c r="AI24" s="235"/>
      <c r="AJ24" s="235"/>
      <c r="AK24" s="235"/>
      <c r="AL24" s="235"/>
      <c r="AM24" s="237" t="s">
        <v>987</v>
      </c>
      <c r="AN24" s="235" t="s">
        <v>988</v>
      </c>
      <c r="AO24" s="235" t="s">
        <v>989</v>
      </c>
      <c r="AP24" s="233"/>
      <c r="AQ24" s="282">
        <v>1619</v>
      </c>
      <c r="AR24" s="238">
        <v>12952</v>
      </c>
      <c r="AS24" s="239">
        <v>249.07692307692307</v>
      </c>
      <c r="AT24" s="240">
        <v>0.15384615384615383</v>
      </c>
      <c r="AU24" s="241">
        <v>2.1999999999999997</v>
      </c>
      <c r="AV24" s="233">
        <v>6</v>
      </c>
      <c r="AW24" s="242">
        <f>AV24-AC24</f>
        <v>-6</v>
      </c>
      <c r="AX24" s="235">
        <v>6.7</v>
      </c>
      <c r="AY24" s="235">
        <v>8</v>
      </c>
      <c r="AZ24" s="235">
        <f>16/2</f>
        <v>8</v>
      </c>
      <c r="BA24" s="235">
        <f>7.75/2</f>
        <v>3.875</v>
      </c>
      <c r="BB24" s="235"/>
      <c r="BC24" s="235"/>
      <c r="BD24" s="235"/>
      <c r="BE24" s="235"/>
      <c r="BF24" s="235"/>
      <c r="BG24" s="243">
        <f t="shared" si="0"/>
        <v>39.000000000000007</v>
      </c>
      <c r="BH24" s="244">
        <f t="shared" si="1"/>
        <v>1.2307692307692306</v>
      </c>
      <c r="BI24" s="243">
        <f t="shared" si="2"/>
        <v>6</v>
      </c>
      <c r="BJ24" s="243">
        <f t="shared" si="3"/>
        <v>6</v>
      </c>
      <c r="BK24" s="243"/>
      <c r="BL24" s="243"/>
      <c r="BM24" s="243"/>
      <c r="BN24" s="243"/>
      <c r="BO24" s="233"/>
      <c r="BP24" s="245">
        <f t="shared" si="4"/>
        <v>6</v>
      </c>
      <c r="BQ24" s="243">
        <f t="shared" si="5"/>
        <v>39.000000000000007</v>
      </c>
      <c r="BR24" s="233" t="s">
        <v>204</v>
      </c>
      <c r="BS24" s="246">
        <v>0</v>
      </c>
      <c r="BT24" s="247" t="s">
        <v>335</v>
      </c>
      <c r="BU24" s="247" t="s">
        <v>335</v>
      </c>
      <c r="BV24" s="247"/>
      <c r="BW24" s="247" t="s">
        <v>335</v>
      </c>
      <c r="BX24" s="233" t="s">
        <v>1076</v>
      </c>
      <c r="BY24" s="233"/>
      <c r="CA24" s="235" t="s">
        <v>308</v>
      </c>
      <c r="CB24" s="187" t="e">
        <v>#N/A</v>
      </c>
      <c r="CC24" s="186" t="e">
        <v>#N/A</v>
      </c>
      <c r="CD24" s="186" t="e">
        <v>#N/A</v>
      </c>
      <c r="CE24" s="173" t="e">
        <v>#N/A</v>
      </c>
    </row>
    <row r="25" spans="1:89" ht="15" hidden="1" customHeight="1">
      <c r="A25" s="177" t="s">
        <v>82</v>
      </c>
      <c r="B25" s="173" t="s">
        <v>564</v>
      </c>
      <c r="C25" s="175">
        <v>119</v>
      </c>
      <c r="D25" s="173" t="s">
        <v>275</v>
      </c>
      <c r="E25" s="232" t="s">
        <v>274</v>
      </c>
      <c r="F25" s="213" t="s">
        <v>1077</v>
      </c>
      <c r="G25" s="213" t="s">
        <v>1078</v>
      </c>
      <c r="H25" s="213"/>
      <c r="I25" s="213" t="s">
        <v>1079</v>
      </c>
      <c r="J25" s="213" t="s">
        <v>1031</v>
      </c>
      <c r="K25" s="214" t="s">
        <v>272</v>
      </c>
      <c r="L25" s="213" t="s">
        <v>1080</v>
      </c>
      <c r="M25" s="213"/>
      <c r="N25" s="213" t="s">
        <v>1081</v>
      </c>
      <c r="O25" s="213" t="s">
        <v>1082</v>
      </c>
      <c r="P25" s="177">
        <v>8</v>
      </c>
      <c r="Q25" s="177">
        <v>8</v>
      </c>
      <c r="R25" s="177">
        <v>3.5</v>
      </c>
      <c r="S25" s="232">
        <v>73000792651</v>
      </c>
      <c r="T25" s="177">
        <v>1</v>
      </c>
      <c r="U25" s="178">
        <v>0.12962962962962962</v>
      </c>
      <c r="V25" s="173" t="s">
        <v>572</v>
      </c>
      <c r="W25" s="217">
        <v>3</v>
      </c>
      <c r="X25" s="177">
        <v>6</v>
      </c>
      <c r="Y25" s="177">
        <v>6</v>
      </c>
      <c r="Z25" s="177">
        <v>11</v>
      </c>
      <c r="AA25" s="177">
        <v>1</v>
      </c>
      <c r="AB25" s="178">
        <v>0.22916666666666666</v>
      </c>
      <c r="AC25" s="177">
        <v>48</v>
      </c>
      <c r="AM25" s="218" t="s">
        <v>987</v>
      </c>
      <c r="AN25" s="177" t="s">
        <v>988</v>
      </c>
      <c r="AO25" s="177" t="s">
        <v>989</v>
      </c>
      <c r="AQ25" s="281">
        <v>1599</v>
      </c>
      <c r="AR25" s="219">
        <v>9594</v>
      </c>
      <c r="AS25" s="220">
        <v>184.5</v>
      </c>
      <c r="AT25" s="221">
        <v>0.11538461538461539</v>
      </c>
      <c r="AU25" s="222">
        <v>4.0769230769230766</v>
      </c>
      <c r="AV25" s="189">
        <v>3</v>
      </c>
      <c r="AW25" s="223">
        <f>AV25-W25</f>
        <v>0</v>
      </c>
      <c r="AX25" s="177">
        <v>6</v>
      </c>
      <c r="AY25" s="177">
        <v>6</v>
      </c>
      <c r="AZ25" s="177">
        <v>11</v>
      </c>
      <c r="BA25" s="177">
        <v>1</v>
      </c>
      <c r="BG25" s="182">
        <f t="shared" si="0"/>
        <v>26</v>
      </c>
      <c r="BH25" s="224">
        <f t="shared" si="1"/>
        <v>0.92307692307692313</v>
      </c>
      <c r="BI25" s="182">
        <f t="shared" si="2"/>
        <v>3</v>
      </c>
      <c r="BJ25" s="182">
        <f t="shared" si="3"/>
        <v>3</v>
      </c>
      <c r="BL25" s="182"/>
      <c r="BM25" s="182"/>
      <c r="BN25" s="182"/>
      <c r="BP25" s="225">
        <f t="shared" si="4"/>
        <v>3</v>
      </c>
      <c r="BQ25" s="182">
        <f t="shared" si="5"/>
        <v>26</v>
      </c>
      <c r="BR25" s="173" t="s">
        <v>707</v>
      </c>
      <c r="BS25" s="226">
        <f t="shared" ref="BS25:BS78" si="20">AV25*AU25*AQ25</f>
        <v>19557</v>
      </c>
      <c r="BT25" s="227" t="s">
        <v>335</v>
      </c>
      <c r="BU25" s="227"/>
      <c r="BV25" s="227" t="s">
        <v>335</v>
      </c>
      <c r="BW25" s="227" t="s">
        <v>335</v>
      </c>
      <c r="BX25" s="189" t="s">
        <v>1014</v>
      </c>
      <c r="BY25" s="189"/>
      <c r="CA25" s="232" t="s">
        <v>274</v>
      </c>
      <c r="CB25" s="187" t="e">
        <v>#N/A</v>
      </c>
      <c r="CC25" s="186" t="e">
        <v>#N/A</v>
      </c>
      <c r="CD25" s="186" t="e">
        <v>#N/A</v>
      </c>
      <c r="CE25" s="173" t="e">
        <v>#N/A</v>
      </c>
    </row>
    <row r="26" spans="1:89" ht="15" hidden="1" customHeight="1">
      <c r="A26" s="177" t="s">
        <v>82</v>
      </c>
      <c r="B26" s="173" t="s">
        <v>564</v>
      </c>
      <c r="C26" s="175">
        <v>141</v>
      </c>
      <c r="D26" s="173" t="s">
        <v>582</v>
      </c>
      <c r="E26" s="177" t="s">
        <v>433</v>
      </c>
      <c r="F26" s="213" t="s">
        <v>1045</v>
      </c>
      <c r="G26" s="213" t="s">
        <v>1046</v>
      </c>
      <c r="H26" s="213"/>
      <c r="I26" s="213" t="s">
        <v>1083</v>
      </c>
      <c r="J26" s="213" t="s">
        <v>1048</v>
      </c>
      <c r="K26" s="214" t="s">
        <v>401</v>
      </c>
      <c r="L26" s="213" t="s">
        <v>1084</v>
      </c>
      <c r="M26" s="213" t="s">
        <v>1085</v>
      </c>
      <c r="N26" s="213"/>
      <c r="O26" s="213"/>
      <c r="P26" s="177">
        <v>10.5</v>
      </c>
      <c r="Q26" s="177">
        <v>4.5</v>
      </c>
      <c r="R26" s="177">
        <v>0.5</v>
      </c>
      <c r="S26" s="215">
        <v>730007000238</v>
      </c>
      <c r="T26" s="177">
        <v>1.06</v>
      </c>
      <c r="U26" s="178">
        <v>1.3671875E-2</v>
      </c>
      <c r="V26" s="173" t="s">
        <v>577</v>
      </c>
      <c r="W26" s="217">
        <v>12</v>
      </c>
      <c r="X26" s="177">
        <v>5.7</v>
      </c>
      <c r="Y26" s="177">
        <v>15</v>
      </c>
      <c r="Z26" s="177">
        <v>12</v>
      </c>
      <c r="AA26" s="177">
        <v>12.76</v>
      </c>
      <c r="AB26" s="178">
        <v>0.59375</v>
      </c>
      <c r="AC26" s="177">
        <v>24</v>
      </c>
      <c r="AM26" s="218" t="s">
        <v>987</v>
      </c>
      <c r="AN26" s="177" t="s">
        <v>988</v>
      </c>
      <c r="AO26" s="177" t="s">
        <v>989</v>
      </c>
      <c r="AQ26" s="281">
        <v>1715</v>
      </c>
      <c r="AR26" s="219">
        <v>17150</v>
      </c>
      <c r="AS26" s="220">
        <v>329.80769230769232</v>
      </c>
      <c r="AT26" s="221">
        <v>0.19230769230769232</v>
      </c>
      <c r="AU26" s="222">
        <v>1.8601538461538463</v>
      </c>
      <c r="AV26" s="189">
        <v>12</v>
      </c>
      <c r="AW26" s="223">
        <f>AV26-W26</f>
        <v>0</v>
      </c>
      <c r="AX26" s="177">
        <v>5.7</v>
      </c>
      <c r="AY26" s="177">
        <v>15</v>
      </c>
      <c r="AZ26" s="177">
        <v>12</v>
      </c>
      <c r="BA26" s="177">
        <v>12.76</v>
      </c>
      <c r="BG26" s="182">
        <f t="shared" si="0"/>
        <v>62.4</v>
      </c>
      <c r="BH26" s="224">
        <f t="shared" si="1"/>
        <v>1.5384615384615385</v>
      </c>
      <c r="BI26" s="182">
        <f t="shared" si="2"/>
        <v>12</v>
      </c>
      <c r="BJ26" s="182">
        <f t="shared" si="3"/>
        <v>12</v>
      </c>
      <c r="BL26" s="182"/>
      <c r="BM26" s="182"/>
      <c r="BN26" s="182"/>
      <c r="BP26" s="225">
        <f t="shared" si="4"/>
        <v>12</v>
      </c>
      <c r="BQ26" s="182">
        <f t="shared" si="5"/>
        <v>62.4</v>
      </c>
      <c r="BR26" s="173" t="s">
        <v>367</v>
      </c>
      <c r="BS26" s="226">
        <f t="shared" si="20"/>
        <v>38281.966153846159</v>
      </c>
      <c r="BT26" s="227" t="s">
        <v>335</v>
      </c>
      <c r="BU26" s="227" t="s">
        <v>335</v>
      </c>
      <c r="BV26" s="227" t="s">
        <v>335</v>
      </c>
      <c r="BW26" s="227" t="s">
        <v>335</v>
      </c>
      <c r="BX26" s="189" t="s">
        <v>1014</v>
      </c>
      <c r="BY26" s="189"/>
      <c r="CA26" s="177" t="s">
        <v>433</v>
      </c>
      <c r="CB26" s="187" t="e">
        <v>#N/A</v>
      </c>
      <c r="CC26" s="186" t="e">
        <v>#N/A</v>
      </c>
      <c r="CD26" s="186" t="e">
        <v>#N/A</v>
      </c>
      <c r="CE26" s="173" t="e">
        <v>#N/A</v>
      </c>
    </row>
    <row r="27" spans="1:89" ht="15" customHeight="1">
      <c r="A27" s="177" t="s">
        <v>82</v>
      </c>
      <c r="B27" s="173" t="s">
        <v>564</v>
      </c>
      <c r="C27" s="175">
        <v>98</v>
      </c>
      <c r="D27" s="173" t="s">
        <v>351</v>
      </c>
      <c r="E27" s="177" t="s">
        <v>135</v>
      </c>
      <c r="F27" s="213" t="s">
        <v>1086</v>
      </c>
      <c r="G27" s="213" t="s">
        <v>1087</v>
      </c>
      <c r="H27" s="213" t="s">
        <v>73</v>
      </c>
      <c r="I27" s="213" t="s">
        <v>1088</v>
      </c>
      <c r="J27" s="213" t="s">
        <v>1031</v>
      </c>
      <c r="K27" s="214" t="s">
        <v>214</v>
      </c>
      <c r="L27" s="213" t="s">
        <v>1089</v>
      </c>
      <c r="M27" s="213" t="s">
        <v>1090</v>
      </c>
      <c r="N27" s="213"/>
      <c r="O27" s="213"/>
      <c r="P27" s="177">
        <v>5.7</v>
      </c>
      <c r="Q27" s="177">
        <v>3.65</v>
      </c>
      <c r="R27" s="177">
        <v>1.25</v>
      </c>
      <c r="S27" s="215" t="s">
        <v>847</v>
      </c>
      <c r="T27" s="177">
        <v>0.2</v>
      </c>
      <c r="U27" s="178">
        <v>1.5049913194444445E-2</v>
      </c>
      <c r="V27" s="173" t="s">
        <v>565</v>
      </c>
      <c r="W27" s="217">
        <v>6</v>
      </c>
      <c r="X27" s="177">
        <v>6.75</v>
      </c>
      <c r="Y27" s="177">
        <v>6</v>
      </c>
      <c r="Z27" s="177">
        <v>4.0999999999999996</v>
      </c>
      <c r="AA27" s="177">
        <v>1</v>
      </c>
      <c r="AB27" s="178">
        <v>9.6093749999999992E-2</v>
      </c>
      <c r="AC27" s="177">
        <v>24</v>
      </c>
      <c r="AD27" s="177">
        <v>7.25</v>
      </c>
      <c r="AE27" s="177">
        <v>13</v>
      </c>
      <c r="AF27" s="177">
        <v>9.1999999999999993</v>
      </c>
      <c r="AG27" s="177">
        <v>6</v>
      </c>
      <c r="AM27" s="218" t="s">
        <v>987</v>
      </c>
      <c r="AN27" s="177" t="s">
        <v>988</v>
      </c>
      <c r="AO27" s="177" t="s">
        <v>989</v>
      </c>
      <c r="AQ27" s="281">
        <v>1599</v>
      </c>
      <c r="AR27" s="219">
        <v>25584</v>
      </c>
      <c r="AS27" s="220">
        <v>492</v>
      </c>
      <c r="AT27" s="221">
        <v>0.30769230769230771</v>
      </c>
      <c r="AU27" s="222">
        <v>1.7604615384615385</v>
      </c>
      <c r="AV27" s="189">
        <v>6</v>
      </c>
      <c r="AW27" s="223">
        <f>AV27-W27</f>
        <v>0</v>
      </c>
      <c r="AX27" s="228">
        <v>6.75</v>
      </c>
      <c r="AY27" s="177">
        <v>6</v>
      </c>
      <c r="AZ27" s="177">
        <v>4.0999999999999996</v>
      </c>
      <c r="BA27" s="177">
        <v>1</v>
      </c>
      <c r="BG27" s="182">
        <f t="shared" si="0"/>
        <v>19.5</v>
      </c>
      <c r="BH27" s="224">
        <f t="shared" si="1"/>
        <v>2.4615384615384617</v>
      </c>
      <c r="BI27" s="182">
        <f t="shared" si="2"/>
        <v>6</v>
      </c>
      <c r="BJ27" s="182">
        <f t="shared" si="3"/>
        <v>6</v>
      </c>
      <c r="BL27" s="182"/>
      <c r="BM27" s="182"/>
      <c r="BN27" s="182"/>
      <c r="BP27" s="225">
        <f t="shared" si="4"/>
        <v>6</v>
      </c>
      <c r="BQ27" s="182">
        <f t="shared" si="5"/>
        <v>19.5</v>
      </c>
      <c r="BR27" s="173" t="s">
        <v>204</v>
      </c>
      <c r="BS27" s="226">
        <f t="shared" si="20"/>
        <v>16889.867999999999</v>
      </c>
      <c r="BT27" s="227" t="s">
        <v>335</v>
      </c>
      <c r="BU27" s="227"/>
      <c r="BV27" s="227" t="s">
        <v>335</v>
      </c>
      <c r="BW27" s="227" t="s">
        <v>335</v>
      </c>
      <c r="BX27" s="230" t="s">
        <v>1091</v>
      </c>
      <c r="BY27" s="231" t="s">
        <v>1092</v>
      </c>
      <c r="CA27" s="177" t="s">
        <v>135</v>
      </c>
      <c r="CB27" s="187">
        <v>11033.1</v>
      </c>
      <c r="CC27" s="186">
        <v>25584</v>
      </c>
      <c r="CD27" s="186">
        <v>6</v>
      </c>
      <c r="CE27" s="173">
        <v>24</v>
      </c>
      <c r="CF27" s="173">
        <f t="shared" ref="CF27:CF71" si="21">CE27</f>
        <v>24</v>
      </c>
      <c r="CG27" s="173">
        <f t="shared" ref="CG27:CG71" si="22">CE27/CD27</f>
        <v>4</v>
      </c>
      <c r="CK27" s="173">
        <f t="shared" ref="CK27:CK71" si="23">CD27-AV27</f>
        <v>0</v>
      </c>
    </row>
    <row r="28" spans="1:89" ht="15" customHeight="1">
      <c r="A28" s="177" t="s">
        <v>82</v>
      </c>
      <c r="B28" s="173" t="s">
        <v>564</v>
      </c>
      <c r="C28" s="175">
        <v>110</v>
      </c>
      <c r="D28" s="173" t="s">
        <v>369</v>
      </c>
      <c r="E28" s="177" t="s">
        <v>140</v>
      </c>
      <c r="F28" s="213" t="s">
        <v>1093</v>
      </c>
      <c r="G28" s="213" t="s">
        <v>1094</v>
      </c>
      <c r="H28" s="213" t="s">
        <v>73</v>
      </c>
      <c r="I28" s="213" t="s">
        <v>1095</v>
      </c>
      <c r="J28" s="213" t="s">
        <v>1031</v>
      </c>
      <c r="K28" s="214" t="s">
        <v>363</v>
      </c>
      <c r="L28" s="213" t="s">
        <v>1096</v>
      </c>
      <c r="M28" s="213" t="s">
        <v>1097</v>
      </c>
      <c r="N28" s="213"/>
      <c r="O28" s="213"/>
      <c r="P28" s="177">
        <v>7.375</v>
      </c>
      <c r="Q28" s="177">
        <v>4.875</v>
      </c>
      <c r="R28" s="177">
        <v>4</v>
      </c>
      <c r="S28" s="215">
        <v>730007000283</v>
      </c>
      <c r="T28" s="177">
        <v>0.28000000000000003</v>
      </c>
      <c r="U28" s="178">
        <v>8.3224826388888895E-2</v>
      </c>
      <c r="V28" s="173" t="s">
        <v>565</v>
      </c>
      <c r="W28" s="217">
        <v>6</v>
      </c>
      <c r="X28" s="177">
        <v>5.25</v>
      </c>
      <c r="Y28" s="177">
        <v>4.8</v>
      </c>
      <c r="Z28" s="177">
        <v>15</v>
      </c>
      <c r="AA28" s="177">
        <v>1.7</v>
      </c>
      <c r="AB28" s="178">
        <v>0.21875</v>
      </c>
      <c r="AC28" s="177">
        <v>24</v>
      </c>
      <c r="AD28" s="177">
        <v>11.5</v>
      </c>
      <c r="AE28" s="177">
        <v>15.399999999999999</v>
      </c>
      <c r="AF28" s="177">
        <v>10.5</v>
      </c>
      <c r="AG28" s="177">
        <v>8.8000000000000007</v>
      </c>
      <c r="AM28" s="218" t="s">
        <v>987</v>
      </c>
      <c r="AN28" s="177" t="s">
        <v>988</v>
      </c>
      <c r="AO28" s="177" t="s">
        <v>989</v>
      </c>
      <c r="AQ28" s="281">
        <v>1599</v>
      </c>
      <c r="AR28" s="219">
        <v>12792</v>
      </c>
      <c r="AS28" s="220">
        <v>246</v>
      </c>
      <c r="AT28" s="221">
        <v>0.15384615384615385</v>
      </c>
      <c r="AU28" s="222">
        <v>1.6441538461538461</v>
      </c>
      <c r="AV28" s="189">
        <v>4</v>
      </c>
      <c r="AW28" s="223">
        <f>AV28-W28</f>
        <v>-2</v>
      </c>
      <c r="AX28" s="177">
        <v>5.25</v>
      </c>
      <c r="AY28" s="177">
        <v>4.8</v>
      </c>
      <c r="AZ28" s="177">
        <f>(15/6)*4</f>
        <v>10</v>
      </c>
      <c r="BA28" s="229">
        <f>(1.7/6)*4</f>
        <v>1.1333333333333333</v>
      </c>
      <c r="BB28" s="229"/>
      <c r="BC28" s="229"/>
      <c r="BD28" s="229"/>
      <c r="BE28" s="229"/>
      <c r="BF28" s="229"/>
      <c r="BG28" s="182">
        <f t="shared" si="0"/>
        <v>26</v>
      </c>
      <c r="BH28" s="224">
        <f t="shared" si="1"/>
        <v>1.2307692307692308</v>
      </c>
      <c r="BI28" s="182">
        <f t="shared" si="2"/>
        <v>4</v>
      </c>
      <c r="BJ28" s="182">
        <f t="shared" si="3"/>
        <v>4</v>
      </c>
      <c r="BL28" s="182"/>
      <c r="BM28" s="182"/>
      <c r="BN28" s="182"/>
      <c r="BP28" s="225">
        <f t="shared" si="4"/>
        <v>4</v>
      </c>
      <c r="BQ28" s="182">
        <f t="shared" si="5"/>
        <v>26</v>
      </c>
      <c r="BR28" s="173" t="s">
        <v>204</v>
      </c>
      <c r="BS28" s="226">
        <f t="shared" si="20"/>
        <v>10516.008</v>
      </c>
      <c r="BT28" s="227" t="s">
        <v>335</v>
      </c>
      <c r="BU28" s="227"/>
      <c r="BV28" s="227" t="s">
        <v>335</v>
      </c>
      <c r="BW28" s="227" t="s">
        <v>335</v>
      </c>
      <c r="BX28" s="189" t="s">
        <v>990</v>
      </c>
      <c r="BY28" s="189"/>
      <c r="CA28" s="177" t="s">
        <v>140</v>
      </c>
      <c r="CB28" s="187">
        <v>7355.4</v>
      </c>
      <c r="CC28" s="186">
        <v>12792</v>
      </c>
      <c r="CD28" s="186">
        <v>4</v>
      </c>
      <c r="CE28" s="173">
        <v>24</v>
      </c>
      <c r="CF28" s="173">
        <f t="shared" si="21"/>
        <v>24</v>
      </c>
      <c r="CG28" s="173">
        <f t="shared" si="22"/>
        <v>6</v>
      </c>
      <c r="CK28" s="173">
        <f t="shared" si="23"/>
        <v>0</v>
      </c>
    </row>
    <row r="29" spans="1:89" ht="15" customHeight="1">
      <c r="A29" s="177" t="s">
        <v>82</v>
      </c>
      <c r="B29" s="173" t="s">
        <v>564</v>
      </c>
      <c r="C29" s="175">
        <v>122</v>
      </c>
      <c r="D29" s="173" t="s">
        <v>583</v>
      </c>
      <c r="E29" s="177" t="s">
        <v>186</v>
      </c>
      <c r="F29" s="213" t="s">
        <v>1098</v>
      </c>
      <c r="G29" s="213" t="s">
        <v>1099</v>
      </c>
      <c r="H29" s="213" t="s">
        <v>73</v>
      </c>
      <c r="I29" s="213" t="s">
        <v>1100</v>
      </c>
      <c r="J29" s="213" t="s">
        <v>1101</v>
      </c>
      <c r="K29" s="214" t="s">
        <v>511</v>
      </c>
      <c r="L29" s="213" t="s">
        <v>1102</v>
      </c>
      <c r="M29" s="213" t="s">
        <v>1103</v>
      </c>
      <c r="N29" s="213"/>
      <c r="O29" s="213"/>
      <c r="P29" s="177">
        <v>5.4</v>
      </c>
      <c r="Q29" s="177">
        <v>5.3</v>
      </c>
      <c r="R29" s="177">
        <v>1.25</v>
      </c>
      <c r="S29" s="215">
        <v>730007000726</v>
      </c>
      <c r="T29" s="177">
        <v>0.2</v>
      </c>
      <c r="U29" s="178">
        <v>2.0703124999999999E-2</v>
      </c>
      <c r="V29" s="173" t="s">
        <v>572</v>
      </c>
      <c r="W29" s="217">
        <v>10</v>
      </c>
      <c r="X29" s="177">
        <v>8.6999999999999993</v>
      </c>
      <c r="Y29" s="177">
        <v>5.3</v>
      </c>
      <c r="Z29" s="177">
        <v>6.8</v>
      </c>
      <c r="AA29" s="177">
        <v>1.8</v>
      </c>
      <c r="AB29" s="178">
        <v>0.18145138888888887</v>
      </c>
      <c r="AC29" s="177">
        <v>100</v>
      </c>
      <c r="AD29" s="177">
        <v>18.399999999999999</v>
      </c>
      <c r="AE29" s="177">
        <v>11.6</v>
      </c>
      <c r="AF29" s="177">
        <v>18</v>
      </c>
      <c r="AG29" s="177">
        <v>23</v>
      </c>
      <c r="AM29" s="218" t="s">
        <v>987</v>
      </c>
      <c r="AN29" s="177" t="s">
        <v>988</v>
      </c>
      <c r="AO29" s="177" t="s">
        <v>989</v>
      </c>
      <c r="AQ29" s="281">
        <v>1599</v>
      </c>
      <c r="AR29" s="219">
        <v>28782</v>
      </c>
      <c r="AS29" s="220">
        <v>553.5</v>
      </c>
      <c r="AT29" s="221">
        <v>0.34615384615384615</v>
      </c>
      <c r="AU29" s="222">
        <v>0.95384615384615379</v>
      </c>
      <c r="AV29" s="189">
        <v>5</v>
      </c>
      <c r="AW29" s="223">
        <f>AV29-W29</f>
        <v>-5</v>
      </c>
      <c r="AX29" s="177">
        <v>8.6999999999999993</v>
      </c>
      <c r="AY29" s="177">
        <v>5.3</v>
      </c>
      <c r="AZ29" s="177">
        <f>6.8/2</f>
        <v>3.4</v>
      </c>
      <c r="BA29" s="229">
        <v>1.05</v>
      </c>
      <c r="BB29" s="229"/>
      <c r="BC29" s="229"/>
      <c r="BD29" s="229"/>
      <c r="BE29" s="229"/>
      <c r="BF29" s="229"/>
      <c r="BG29" s="182">
        <f t="shared" si="0"/>
        <v>14.444444444444445</v>
      </c>
      <c r="BH29" s="224">
        <f t="shared" si="1"/>
        <v>2.7692307692307692</v>
      </c>
      <c r="BI29" s="182">
        <f t="shared" si="2"/>
        <v>5</v>
      </c>
      <c r="BJ29" s="182">
        <f t="shared" si="3"/>
        <v>5</v>
      </c>
      <c r="BL29" s="182"/>
      <c r="BM29" s="182"/>
      <c r="BN29" s="182"/>
      <c r="BP29" s="225">
        <f t="shared" si="4"/>
        <v>5</v>
      </c>
      <c r="BQ29" s="182">
        <f t="shared" si="5"/>
        <v>14.444444444444445</v>
      </c>
      <c r="BR29" s="173" t="s">
        <v>204</v>
      </c>
      <c r="BS29" s="226">
        <f t="shared" si="20"/>
        <v>7626</v>
      </c>
      <c r="BT29" s="227" t="s">
        <v>335</v>
      </c>
      <c r="BU29" s="227"/>
      <c r="BV29" s="227" t="s">
        <v>335</v>
      </c>
      <c r="BW29" s="227" t="s">
        <v>335</v>
      </c>
      <c r="BX29" s="189" t="s">
        <v>990</v>
      </c>
      <c r="BY29" s="189"/>
      <c r="CA29" s="177" t="s">
        <v>186</v>
      </c>
      <c r="CB29" s="187">
        <v>9194.25</v>
      </c>
      <c r="CC29" s="186">
        <v>28782</v>
      </c>
      <c r="CD29" s="186">
        <v>5</v>
      </c>
      <c r="CE29" s="173">
        <v>100</v>
      </c>
      <c r="CF29" s="173">
        <f t="shared" si="21"/>
        <v>100</v>
      </c>
      <c r="CG29" s="173">
        <f t="shared" si="22"/>
        <v>20</v>
      </c>
      <c r="CK29" s="173">
        <f t="shared" si="23"/>
        <v>0</v>
      </c>
    </row>
    <row r="30" spans="1:89" ht="15" customHeight="1">
      <c r="A30" s="177" t="s">
        <v>82</v>
      </c>
      <c r="B30" s="173" t="s">
        <v>564</v>
      </c>
      <c r="C30" s="175">
        <v>56</v>
      </c>
      <c r="D30" s="173" t="s">
        <v>390</v>
      </c>
      <c r="E30" s="177" t="s">
        <v>148</v>
      </c>
      <c r="F30" s="213" t="s">
        <v>1104</v>
      </c>
      <c r="G30" s="213" t="s">
        <v>1105</v>
      </c>
      <c r="H30" s="213" t="s">
        <v>73</v>
      </c>
      <c r="I30" s="213" t="s">
        <v>1106</v>
      </c>
      <c r="J30" s="213" t="s">
        <v>1107</v>
      </c>
      <c r="K30" s="214" t="s">
        <v>388</v>
      </c>
      <c r="L30" s="213" t="s">
        <v>1108</v>
      </c>
      <c r="M30" s="213" t="s">
        <v>1109</v>
      </c>
      <c r="N30" s="213"/>
      <c r="O30" s="213"/>
      <c r="P30" s="177">
        <v>4</v>
      </c>
      <c r="Q30" s="177">
        <v>6</v>
      </c>
      <c r="R30" s="177">
        <v>11</v>
      </c>
      <c r="S30" s="215" t="s">
        <v>858</v>
      </c>
      <c r="T30" s="177">
        <v>5</v>
      </c>
      <c r="U30" s="178">
        <v>0.15277777777777779</v>
      </c>
      <c r="V30" s="173" t="s">
        <v>584</v>
      </c>
      <c r="W30" s="177" t="s">
        <v>335</v>
      </c>
      <c r="X30" s="177" t="s">
        <v>335</v>
      </c>
      <c r="Y30" s="177" t="s">
        <v>335</v>
      </c>
      <c r="Z30" s="177" t="s">
        <v>335</v>
      </c>
      <c r="AA30" s="177" t="s">
        <v>335</v>
      </c>
      <c r="AB30" s="178" t="e">
        <v>#VALUE!</v>
      </c>
      <c r="AC30" s="217">
        <v>6</v>
      </c>
      <c r="AD30" s="177">
        <v>13</v>
      </c>
      <c r="AE30" s="177">
        <v>13</v>
      </c>
      <c r="AF30" s="177">
        <v>11.5</v>
      </c>
      <c r="AG30" s="177">
        <v>32</v>
      </c>
      <c r="AM30" s="218" t="s">
        <v>987</v>
      </c>
      <c r="AN30" s="177" t="s">
        <v>988</v>
      </c>
      <c r="AO30" s="177" t="s">
        <v>989</v>
      </c>
      <c r="AQ30" s="281">
        <v>184</v>
      </c>
      <c r="AR30" s="219">
        <v>920</v>
      </c>
      <c r="AS30" s="220">
        <v>17.692307692307693</v>
      </c>
      <c r="AT30" s="221">
        <v>9.6153846153846159E-2</v>
      </c>
      <c r="AU30" s="222">
        <v>30.553846153846152</v>
      </c>
      <c r="AV30" s="189">
        <v>1</v>
      </c>
      <c r="AW30" s="223">
        <f>AV30-AC30</f>
        <v>-5</v>
      </c>
      <c r="AX30" s="177">
        <v>4</v>
      </c>
      <c r="AY30" s="177">
        <v>6</v>
      </c>
      <c r="AZ30" s="177">
        <v>11</v>
      </c>
      <c r="BA30" s="177">
        <v>5</v>
      </c>
      <c r="BG30" s="182">
        <f t="shared" si="0"/>
        <v>10.399999999999999</v>
      </c>
      <c r="BH30" s="224">
        <f t="shared" si="1"/>
        <v>0.76923076923076927</v>
      </c>
      <c r="BI30" s="182">
        <f t="shared" si="2"/>
        <v>2</v>
      </c>
      <c r="BJ30" s="182">
        <f t="shared" si="3"/>
        <v>2</v>
      </c>
      <c r="BL30" s="182"/>
      <c r="BM30" s="182"/>
      <c r="BN30" s="182"/>
      <c r="BP30" s="225">
        <f t="shared" si="4"/>
        <v>2</v>
      </c>
      <c r="BQ30" s="182">
        <f t="shared" si="5"/>
        <v>20.799999999999997</v>
      </c>
      <c r="BR30" s="173" t="s">
        <v>204</v>
      </c>
      <c r="BS30" s="226">
        <f t="shared" si="20"/>
        <v>5621.9076923076918</v>
      </c>
      <c r="BT30" s="227"/>
      <c r="BU30" s="227" t="s">
        <v>335</v>
      </c>
      <c r="BV30" s="227"/>
      <c r="BW30" s="227" t="s">
        <v>335</v>
      </c>
      <c r="BX30" s="189" t="s">
        <v>990</v>
      </c>
      <c r="BY30" s="189"/>
      <c r="CA30" s="177" t="s">
        <v>148</v>
      </c>
      <c r="CB30" s="187">
        <v>211.6</v>
      </c>
      <c r="CC30" s="186">
        <v>920</v>
      </c>
      <c r="CD30" s="186">
        <v>1</v>
      </c>
      <c r="CE30" s="173">
        <v>6</v>
      </c>
      <c r="CF30" s="173">
        <f t="shared" si="21"/>
        <v>6</v>
      </c>
      <c r="CG30" s="173">
        <f t="shared" si="22"/>
        <v>6</v>
      </c>
      <c r="CK30" s="173">
        <f t="shared" si="23"/>
        <v>0</v>
      </c>
    </row>
    <row r="31" spans="1:89" ht="15" customHeight="1">
      <c r="A31" s="177" t="s">
        <v>82</v>
      </c>
      <c r="B31" s="173" t="s">
        <v>564</v>
      </c>
      <c r="C31" s="175">
        <v>96</v>
      </c>
      <c r="D31" s="173" t="s">
        <v>269</v>
      </c>
      <c r="E31" s="232" t="s">
        <v>105</v>
      </c>
      <c r="F31" s="213" t="s">
        <v>1016</v>
      </c>
      <c r="G31" s="213" t="s">
        <v>1017</v>
      </c>
      <c r="H31" s="213" t="s">
        <v>73</v>
      </c>
      <c r="I31" s="213" t="s">
        <v>1110</v>
      </c>
      <c r="J31" s="213" t="s">
        <v>1031</v>
      </c>
      <c r="K31" s="214" t="s">
        <v>72</v>
      </c>
      <c r="L31" s="213" t="s">
        <v>1111</v>
      </c>
      <c r="M31" s="213"/>
      <c r="N31" s="213"/>
      <c r="O31" s="213"/>
      <c r="P31" s="177">
        <v>6.8</v>
      </c>
      <c r="Q31" s="177">
        <v>5.125</v>
      </c>
      <c r="R31" s="177">
        <v>2.75</v>
      </c>
      <c r="S31" s="215" t="s">
        <v>829</v>
      </c>
      <c r="T31" s="177">
        <v>0.39</v>
      </c>
      <c r="U31" s="178">
        <v>5.5461516203703709E-2</v>
      </c>
      <c r="V31" s="173" t="s">
        <v>565</v>
      </c>
      <c r="W31" s="217">
        <v>3</v>
      </c>
      <c r="X31" s="177">
        <v>8.3000000000000007</v>
      </c>
      <c r="Y31" s="177">
        <v>5.3</v>
      </c>
      <c r="Z31" s="177">
        <v>6.25</v>
      </c>
      <c r="AA31" s="177">
        <v>1.05</v>
      </c>
      <c r="AB31" s="178">
        <v>0.15910734953703703</v>
      </c>
      <c r="AC31" s="177">
        <v>48</v>
      </c>
      <c r="AD31" s="177">
        <v>17.600000000000001</v>
      </c>
      <c r="AE31" s="177">
        <v>22.2</v>
      </c>
      <c r="AF31" s="177">
        <v>13.5</v>
      </c>
      <c r="AG31" s="177">
        <v>18.8</v>
      </c>
      <c r="AM31" s="218" t="s">
        <v>987</v>
      </c>
      <c r="AN31" s="177" t="s">
        <v>988</v>
      </c>
      <c r="AO31" s="177" t="s">
        <v>989</v>
      </c>
      <c r="AQ31" s="281">
        <v>1599</v>
      </c>
      <c r="AR31" s="219">
        <v>9594</v>
      </c>
      <c r="AS31" s="220">
        <v>184.5</v>
      </c>
      <c r="AT31" s="221">
        <v>0.11538461538461539</v>
      </c>
      <c r="AU31" s="222">
        <v>2.7846153846153845</v>
      </c>
      <c r="AV31" s="189">
        <v>3</v>
      </c>
      <c r="AW31" s="223">
        <f>AV31-W31</f>
        <v>0</v>
      </c>
      <c r="AX31" s="177">
        <v>8.3000000000000007</v>
      </c>
      <c r="AY31" s="177">
        <v>5.3</v>
      </c>
      <c r="AZ31" s="177">
        <v>6.25</v>
      </c>
      <c r="BA31" s="177">
        <v>1.05</v>
      </c>
      <c r="BG31" s="182">
        <f t="shared" si="0"/>
        <v>26</v>
      </c>
      <c r="BH31" s="224">
        <f t="shared" si="1"/>
        <v>0.92307692307692313</v>
      </c>
      <c r="BI31" s="182">
        <f t="shared" si="2"/>
        <v>3</v>
      </c>
      <c r="BJ31" s="182">
        <f t="shared" si="3"/>
        <v>3</v>
      </c>
      <c r="BL31" s="182"/>
      <c r="BM31" s="182"/>
      <c r="BN31" s="182"/>
      <c r="BP31" s="225">
        <f t="shared" si="4"/>
        <v>3</v>
      </c>
      <c r="BQ31" s="182">
        <f t="shared" si="5"/>
        <v>26</v>
      </c>
      <c r="BR31" s="173" t="s">
        <v>204</v>
      </c>
      <c r="BS31" s="226">
        <f t="shared" si="20"/>
        <v>13357.799999999997</v>
      </c>
      <c r="BT31" s="227" t="s">
        <v>335</v>
      </c>
      <c r="BU31" s="227"/>
      <c r="BV31" s="227" t="s">
        <v>335</v>
      </c>
      <c r="BW31" s="227" t="s">
        <v>335</v>
      </c>
      <c r="BX31" s="189" t="s">
        <v>1014</v>
      </c>
      <c r="BY31" s="189"/>
      <c r="CA31" s="232" t="s">
        <v>105</v>
      </c>
      <c r="CB31" s="187">
        <v>5516.55</v>
      </c>
      <c r="CC31" s="186">
        <v>9594</v>
      </c>
      <c r="CD31" s="186">
        <v>3</v>
      </c>
      <c r="CE31" s="173">
        <v>48</v>
      </c>
      <c r="CF31" s="173">
        <f t="shared" si="21"/>
        <v>48</v>
      </c>
      <c r="CG31" s="173">
        <f t="shared" si="22"/>
        <v>16</v>
      </c>
      <c r="CK31" s="173">
        <f t="shared" si="23"/>
        <v>0</v>
      </c>
    </row>
    <row r="32" spans="1:89" ht="15" customHeight="1">
      <c r="A32" s="177" t="s">
        <v>82</v>
      </c>
      <c r="B32" s="173" t="s">
        <v>564</v>
      </c>
      <c r="C32" s="175">
        <v>57</v>
      </c>
      <c r="D32" s="173" t="s">
        <v>392</v>
      </c>
      <c r="E32" s="177" t="s">
        <v>149</v>
      </c>
      <c r="F32" s="213" t="s">
        <v>1104</v>
      </c>
      <c r="G32" s="213" t="s">
        <v>1105</v>
      </c>
      <c r="H32" s="213" t="s">
        <v>73</v>
      </c>
      <c r="I32" s="213" t="s">
        <v>1112</v>
      </c>
      <c r="J32" s="213" t="s">
        <v>1107</v>
      </c>
      <c r="K32" s="214" t="s">
        <v>388</v>
      </c>
      <c r="L32" s="213" t="s">
        <v>1113</v>
      </c>
      <c r="M32" s="213" t="s">
        <v>1114</v>
      </c>
      <c r="N32" s="213"/>
      <c r="O32" s="213"/>
      <c r="P32" s="177">
        <v>4</v>
      </c>
      <c r="Q32" s="177">
        <v>6</v>
      </c>
      <c r="R32" s="177">
        <v>11</v>
      </c>
      <c r="S32" s="215" t="s">
        <v>859</v>
      </c>
      <c r="T32" s="177">
        <v>5</v>
      </c>
      <c r="U32" s="178">
        <v>0.15277777777777779</v>
      </c>
      <c r="V32" s="173" t="s">
        <v>584</v>
      </c>
      <c r="W32" s="177" t="s">
        <v>335</v>
      </c>
      <c r="X32" s="177" t="s">
        <v>335</v>
      </c>
      <c r="Y32" s="177" t="s">
        <v>335</v>
      </c>
      <c r="Z32" s="177" t="s">
        <v>335</v>
      </c>
      <c r="AA32" s="177" t="s">
        <v>335</v>
      </c>
      <c r="AB32" s="178" t="e">
        <v>#VALUE!</v>
      </c>
      <c r="AC32" s="217">
        <v>6</v>
      </c>
      <c r="AD32" s="177">
        <v>13</v>
      </c>
      <c r="AE32" s="177">
        <v>13</v>
      </c>
      <c r="AF32" s="177">
        <v>11.5</v>
      </c>
      <c r="AG32" s="177">
        <v>32</v>
      </c>
      <c r="AM32" s="218" t="s">
        <v>987</v>
      </c>
      <c r="AN32" s="177" t="s">
        <v>988</v>
      </c>
      <c r="AO32" s="177" t="s">
        <v>989</v>
      </c>
      <c r="AQ32" s="281">
        <v>184</v>
      </c>
      <c r="AR32" s="219">
        <v>920</v>
      </c>
      <c r="AS32" s="220">
        <v>17.692307692307693</v>
      </c>
      <c r="AT32" s="221">
        <v>9.6153846153846159E-2</v>
      </c>
      <c r="AU32" s="222">
        <v>27.846153846153847</v>
      </c>
      <c r="AV32" s="189">
        <v>1</v>
      </c>
      <c r="AW32" s="223">
        <f>AV32-AC32</f>
        <v>-5</v>
      </c>
      <c r="AX32" s="177">
        <v>4</v>
      </c>
      <c r="AY32" s="177">
        <v>6</v>
      </c>
      <c r="AZ32" s="177">
        <v>11</v>
      </c>
      <c r="BA32" s="177">
        <v>5</v>
      </c>
      <c r="BG32" s="182">
        <f t="shared" si="0"/>
        <v>10.399999999999999</v>
      </c>
      <c r="BH32" s="224">
        <f t="shared" si="1"/>
        <v>0.76923076923076927</v>
      </c>
      <c r="BI32" s="182">
        <f t="shared" si="2"/>
        <v>2</v>
      </c>
      <c r="BJ32" s="182">
        <f t="shared" si="3"/>
        <v>2</v>
      </c>
      <c r="BL32" s="182"/>
      <c r="BM32" s="182"/>
      <c r="BN32" s="182"/>
      <c r="BP32" s="225">
        <f t="shared" si="4"/>
        <v>2</v>
      </c>
      <c r="BQ32" s="182">
        <f t="shared" si="5"/>
        <v>20.799999999999997</v>
      </c>
      <c r="BR32" s="173" t="s">
        <v>204</v>
      </c>
      <c r="BS32" s="226">
        <f t="shared" si="20"/>
        <v>5123.6923076923076</v>
      </c>
      <c r="BT32" s="227"/>
      <c r="BU32" s="227" t="s">
        <v>335</v>
      </c>
      <c r="BV32" s="227"/>
      <c r="BW32" s="227" t="s">
        <v>335</v>
      </c>
      <c r="BX32" s="189" t="s">
        <v>990</v>
      </c>
      <c r="BY32" s="189"/>
      <c r="CA32" s="177" t="s">
        <v>149</v>
      </c>
      <c r="CB32" s="187">
        <v>211.6</v>
      </c>
      <c r="CC32" s="186">
        <v>920</v>
      </c>
      <c r="CD32" s="186">
        <v>1</v>
      </c>
      <c r="CE32" s="173">
        <v>6</v>
      </c>
      <c r="CF32" s="173">
        <f t="shared" si="21"/>
        <v>6</v>
      </c>
      <c r="CG32" s="173">
        <f t="shared" si="22"/>
        <v>6</v>
      </c>
      <c r="CK32" s="173">
        <f t="shared" si="23"/>
        <v>0</v>
      </c>
    </row>
    <row r="33" spans="1:89" ht="15" customHeight="1">
      <c r="A33" s="177" t="s">
        <v>82</v>
      </c>
      <c r="B33" s="173" t="s">
        <v>564</v>
      </c>
      <c r="C33" s="175">
        <v>139</v>
      </c>
      <c r="D33" s="173" t="s">
        <v>585</v>
      </c>
      <c r="E33" s="232" t="s">
        <v>138</v>
      </c>
      <c r="F33" s="213" t="s">
        <v>1056</v>
      </c>
      <c r="G33" s="213" t="s">
        <v>1057</v>
      </c>
      <c r="H33" s="213" t="s">
        <v>73</v>
      </c>
      <c r="I33" s="213" t="s">
        <v>1115</v>
      </c>
      <c r="J33" s="213" t="s">
        <v>1031</v>
      </c>
      <c r="K33" s="214" t="s">
        <v>78</v>
      </c>
      <c r="L33" s="213" t="s">
        <v>1116</v>
      </c>
      <c r="M33" s="213" t="s">
        <v>1117</v>
      </c>
      <c r="N33" s="213"/>
      <c r="O33" s="213"/>
      <c r="P33" s="177">
        <v>10.25</v>
      </c>
      <c r="Q33" s="177">
        <v>3.65</v>
      </c>
      <c r="R33" s="177">
        <v>2.25</v>
      </c>
      <c r="S33" s="215" t="s">
        <v>850</v>
      </c>
      <c r="T33" s="177">
        <v>0.33</v>
      </c>
      <c r="U33" s="178">
        <v>4.871419270833334E-2</v>
      </c>
      <c r="V33" s="173" t="s">
        <v>565</v>
      </c>
      <c r="W33" s="217">
        <v>3</v>
      </c>
      <c r="X33" s="177">
        <v>3</v>
      </c>
      <c r="Y33" s="177">
        <v>10.5</v>
      </c>
      <c r="Z33" s="177">
        <v>3.4</v>
      </c>
      <c r="AA33" s="177">
        <v>7.2</v>
      </c>
      <c r="AB33" s="178">
        <v>6.1979166666666662E-2</v>
      </c>
      <c r="AC33" s="177">
        <v>18</v>
      </c>
      <c r="AD33" s="177">
        <v>16</v>
      </c>
      <c r="AE33" s="177">
        <v>11</v>
      </c>
      <c r="AF33" s="177">
        <v>5.5</v>
      </c>
      <c r="AG33" s="177">
        <v>38</v>
      </c>
      <c r="AM33" s="218" t="s">
        <v>987</v>
      </c>
      <c r="AN33" s="177" t="s">
        <v>988</v>
      </c>
      <c r="AO33" s="177" t="s">
        <v>989</v>
      </c>
      <c r="AQ33" s="281">
        <v>1715</v>
      </c>
      <c r="AR33" s="219">
        <v>18865</v>
      </c>
      <c r="AS33" s="220">
        <v>362.78846153846155</v>
      </c>
      <c r="AT33" s="221">
        <v>0.21153846153846154</v>
      </c>
      <c r="AU33" s="222">
        <v>1.3407692307692307</v>
      </c>
      <c r="AV33" s="189">
        <v>4</v>
      </c>
      <c r="AW33" s="223">
        <f t="shared" ref="AW33:AW42" si="24">AV33-W33</f>
        <v>1</v>
      </c>
      <c r="AX33" s="177">
        <v>3</v>
      </c>
      <c r="AY33" s="177">
        <v>10.5</v>
      </c>
      <c r="AZ33" s="229">
        <v>5</v>
      </c>
      <c r="BA33" s="177">
        <v>7.2</v>
      </c>
      <c r="BG33" s="182">
        <f t="shared" si="0"/>
        <v>18.90909090909091</v>
      </c>
      <c r="BH33" s="224">
        <f t="shared" si="1"/>
        <v>1.6923076923076923</v>
      </c>
      <c r="BI33" s="182">
        <f t="shared" si="2"/>
        <v>4</v>
      </c>
      <c r="BJ33" s="182">
        <f t="shared" si="3"/>
        <v>4</v>
      </c>
      <c r="BL33" s="182"/>
      <c r="BM33" s="182"/>
      <c r="BN33" s="182"/>
      <c r="BP33" s="225">
        <f t="shared" si="4"/>
        <v>4</v>
      </c>
      <c r="BQ33" s="182">
        <f t="shared" si="5"/>
        <v>18.90909090909091</v>
      </c>
      <c r="BR33" s="173" t="s">
        <v>204</v>
      </c>
      <c r="BS33" s="226">
        <f t="shared" si="20"/>
        <v>9197.6769230769223</v>
      </c>
      <c r="BT33" s="227" t="s">
        <v>335</v>
      </c>
      <c r="BU33" s="227" t="s">
        <v>335</v>
      </c>
      <c r="BV33" s="227" t="s">
        <v>335</v>
      </c>
      <c r="BW33" s="227" t="s">
        <v>335</v>
      </c>
      <c r="BX33" s="230" t="s">
        <v>1091</v>
      </c>
      <c r="BY33" s="189" t="s">
        <v>1118</v>
      </c>
      <c r="CA33" s="232" t="s">
        <v>138</v>
      </c>
      <c r="CB33" s="187">
        <v>7889</v>
      </c>
      <c r="CC33" s="186">
        <v>18865</v>
      </c>
      <c r="CD33" s="186">
        <v>4</v>
      </c>
      <c r="CE33" s="184">
        <v>18</v>
      </c>
      <c r="CF33" s="173">
        <v>20</v>
      </c>
      <c r="CG33" s="173">
        <f t="shared" si="22"/>
        <v>4.5</v>
      </c>
      <c r="CK33" s="173">
        <f t="shared" si="23"/>
        <v>0</v>
      </c>
    </row>
    <row r="34" spans="1:89" ht="15" customHeight="1">
      <c r="A34" s="177" t="s">
        <v>82</v>
      </c>
      <c r="B34" s="173" t="s">
        <v>564</v>
      </c>
      <c r="C34" s="175">
        <v>133</v>
      </c>
      <c r="D34" s="173" t="s">
        <v>586</v>
      </c>
      <c r="E34" s="232" t="s">
        <v>145</v>
      </c>
      <c r="F34" s="213" t="s">
        <v>1056</v>
      </c>
      <c r="G34" s="213" t="s">
        <v>1057</v>
      </c>
      <c r="H34" s="213" t="s">
        <v>73</v>
      </c>
      <c r="I34" s="213" t="s">
        <v>1119</v>
      </c>
      <c r="J34" s="213" t="s">
        <v>1031</v>
      </c>
      <c r="K34" s="214" t="s">
        <v>88</v>
      </c>
      <c r="L34" s="213" t="s">
        <v>1120</v>
      </c>
      <c r="M34" s="213" t="s">
        <v>1121</v>
      </c>
      <c r="N34" s="213"/>
      <c r="O34" s="213"/>
      <c r="P34" s="177">
        <v>5.7</v>
      </c>
      <c r="Q34" s="177">
        <v>3.65</v>
      </c>
      <c r="R34" s="177">
        <v>3</v>
      </c>
      <c r="S34" s="215" t="s">
        <v>855</v>
      </c>
      <c r="T34" s="177">
        <v>0.2</v>
      </c>
      <c r="U34" s="178">
        <v>3.6119791666666665E-2</v>
      </c>
      <c r="V34" s="173" t="s">
        <v>565</v>
      </c>
      <c r="W34" s="217">
        <v>3</v>
      </c>
      <c r="X34" s="177">
        <v>5.62</v>
      </c>
      <c r="Y34" s="177">
        <v>3.1</v>
      </c>
      <c r="Z34" s="177">
        <v>9</v>
      </c>
      <c r="AA34" s="177">
        <v>0.6</v>
      </c>
      <c r="AB34" s="178">
        <v>9.0739583333333332E-2</v>
      </c>
      <c r="AC34" s="177">
        <v>12</v>
      </c>
      <c r="AD34" s="177">
        <v>6.12</v>
      </c>
      <c r="AE34" s="177">
        <v>10.3</v>
      </c>
      <c r="AF34" s="177">
        <v>14.5</v>
      </c>
      <c r="AG34" s="177">
        <v>5</v>
      </c>
      <c r="AM34" s="218" t="s">
        <v>987</v>
      </c>
      <c r="AN34" s="177" t="s">
        <v>988</v>
      </c>
      <c r="AO34" s="177" t="s">
        <v>989</v>
      </c>
      <c r="AQ34" s="281">
        <v>1715</v>
      </c>
      <c r="AR34" s="219">
        <v>17150</v>
      </c>
      <c r="AS34" s="220">
        <v>329.80769230769232</v>
      </c>
      <c r="AT34" s="221">
        <v>0.19230769230769232</v>
      </c>
      <c r="AU34" s="222">
        <v>1.4010769230769229</v>
      </c>
      <c r="AV34" s="189">
        <v>5</v>
      </c>
      <c r="AW34" s="223">
        <f t="shared" si="24"/>
        <v>2</v>
      </c>
      <c r="AX34" s="177">
        <v>5.62</v>
      </c>
      <c r="AY34" s="177">
        <v>3.1</v>
      </c>
      <c r="AZ34" s="177">
        <v>14</v>
      </c>
      <c r="BA34" s="229">
        <v>1</v>
      </c>
      <c r="BB34" s="229"/>
      <c r="BC34" s="229"/>
      <c r="BD34" s="229"/>
      <c r="BE34" s="229"/>
      <c r="BF34" s="229"/>
      <c r="BG34" s="182">
        <f t="shared" si="0"/>
        <v>26</v>
      </c>
      <c r="BH34" s="224">
        <f t="shared" si="1"/>
        <v>1.5384615384615385</v>
      </c>
      <c r="BI34" s="182">
        <f t="shared" si="2"/>
        <v>5</v>
      </c>
      <c r="BJ34" s="182">
        <f t="shared" si="3"/>
        <v>5</v>
      </c>
      <c r="BL34" s="182"/>
      <c r="BM34" s="182"/>
      <c r="BN34" s="182"/>
      <c r="BP34" s="225">
        <f t="shared" si="4"/>
        <v>5</v>
      </c>
      <c r="BQ34" s="182">
        <f t="shared" si="5"/>
        <v>26</v>
      </c>
      <c r="BR34" s="173" t="s">
        <v>204</v>
      </c>
      <c r="BS34" s="226">
        <f t="shared" si="20"/>
        <v>12014.234615384614</v>
      </c>
      <c r="BT34" s="227" t="s">
        <v>335</v>
      </c>
      <c r="BU34" s="227" t="s">
        <v>335</v>
      </c>
      <c r="BV34" s="227" t="s">
        <v>335</v>
      </c>
      <c r="BW34" s="227" t="s">
        <v>335</v>
      </c>
      <c r="BX34" s="230" t="s">
        <v>1122</v>
      </c>
      <c r="BY34" s="189" t="s">
        <v>1123</v>
      </c>
      <c r="CA34" s="232" t="s">
        <v>145</v>
      </c>
      <c r="CB34" s="187">
        <v>9861.25</v>
      </c>
      <c r="CC34" s="186">
        <v>17150</v>
      </c>
      <c r="CD34" s="186">
        <v>5</v>
      </c>
      <c r="CE34" s="184">
        <v>12</v>
      </c>
      <c r="CF34" s="173">
        <v>15</v>
      </c>
      <c r="CG34" s="173">
        <f t="shared" si="22"/>
        <v>2.4</v>
      </c>
      <c r="CK34" s="173">
        <f t="shared" si="23"/>
        <v>0</v>
      </c>
    </row>
    <row r="35" spans="1:89" ht="15" customHeight="1">
      <c r="A35" s="177" t="s">
        <v>82</v>
      </c>
      <c r="B35" s="173" t="s">
        <v>564</v>
      </c>
      <c r="C35" s="175">
        <v>111</v>
      </c>
      <c r="D35" s="173" t="s">
        <v>587</v>
      </c>
      <c r="E35" s="177" t="s">
        <v>170</v>
      </c>
      <c r="F35" s="213">
        <v>0</v>
      </c>
      <c r="G35" s="213">
        <v>0</v>
      </c>
      <c r="H35" s="213" t="s">
        <v>1124</v>
      </c>
      <c r="I35" s="213" t="s">
        <v>1125</v>
      </c>
      <c r="J35" s="213" t="s">
        <v>1031</v>
      </c>
      <c r="K35" s="214" t="s">
        <v>363</v>
      </c>
      <c r="L35" s="213"/>
      <c r="M35" s="177" t="s">
        <v>1126</v>
      </c>
      <c r="N35" s="213" t="s">
        <v>1127</v>
      </c>
      <c r="O35" s="213" t="s">
        <v>1128</v>
      </c>
      <c r="P35" s="177">
        <v>7.375</v>
      </c>
      <c r="Q35" s="177">
        <v>4.875</v>
      </c>
      <c r="R35" s="177">
        <v>2</v>
      </c>
      <c r="S35" s="215">
        <v>730007000306</v>
      </c>
      <c r="T35" s="177">
        <v>0.2</v>
      </c>
      <c r="U35" s="178">
        <v>4.1612413194444448E-2</v>
      </c>
      <c r="V35" s="173" t="s">
        <v>565</v>
      </c>
      <c r="W35" s="217">
        <v>6</v>
      </c>
      <c r="X35" s="177">
        <v>6</v>
      </c>
      <c r="Y35" s="177">
        <v>5.25</v>
      </c>
      <c r="Z35" s="177">
        <v>15.2</v>
      </c>
      <c r="AA35" s="177">
        <v>1.7</v>
      </c>
      <c r="AB35" s="178">
        <v>0.27708333333333329</v>
      </c>
      <c r="AC35" s="177">
        <v>24</v>
      </c>
      <c r="AD35" s="177">
        <v>13</v>
      </c>
      <c r="AE35" s="177">
        <v>16.75</v>
      </c>
      <c r="AF35" s="177">
        <v>10.63</v>
      </c>
      <c r="AG35" s="177">
        <v>8.8000000000000007</v>
      </c>
      <c r="AM35" s="218" t="s">
        <v>987</v>
      </c>
      <c r="AN35" s="177" t="s">
        <v>988</v>
      </c>
      <c r="AO35" s="177" t="s">
        <v>989</v>
      </c>
      <c r="AQ35" s="281">
        <v>1599</v>
      </c>
      <c r="AR35" s="219">
        <v>12792</v>
      </c>
      <c r="AS35" s="220">
        <v>246</v>
      </c>
      <c r="AT35" s="221">
        <v>0.15384615384615385</v>
      </c>
      <c r="AU35" s="222">
        <v>1.3126153846153847</v>
      </c>
      <c r="AV35" s="189">
        <v>4</v>
      </c>
      <c r="AW35" s="223">
        <f t="shared" si="24"/>
        <v>-2</v>
      </c>
      <c r="AX35" s="177">
        <v>6</v>
      </c>
      <c r="AY35" s="177">
        <v>5.25</v>
      </c>
      <c r="AZ35" s="177">
        <f>(15.2/6)*4</f>
        <v>10.133333333333333</v>
      </c>
      <c r="BA35" s="229">
        <f>(1.7/6)*4</f>
        <v>1.1333333333333333</v>
      </c>
      <c r="BB35" s="229"/>
      <c r="BC35" s="229"/>
      <c r="BD35" s="229"/>
      <c r="BE35" s="229"/>
      <c r="BF35" s="229"/>
      <c r="BG35" s="182">
        <f t="shared" si="0"/>
        <v>26</v>
      </c>
      <c r="BH35" s="224">
        <f t="shared" si="1"/>
        <v>1.2307692307692308</v>
      </c>
      <c r="BI35" s="182">
        <f t="shared" si="2"/>
        <v>4</v>
      </c>
      <c r="BJ35" s="182">
        <f t="shared" si="3"/>
        <v>4</v>
      </c>
      <c r="BL35" s="182"/>
      <c r="BM35" s="182"/>
      <c r="BN35" s="182"/>
      <c r="BP35" s="225">
        <f t="shared" si="4"/>
        <v>4</v>
      </c>
      <c r="BQ35" s="182">
        <f t="shared" si="5"/>
        <v>26</v>
      </c>
      <c r="BR35" s="173" t="s">
        <v>204</v>
      </c>
      <c r="BS35" s="226">
        <f t="shared" si="20"/>
        <v>8395.4880000000012</v>
      </c>
      <c r="BT35" s="227" t="s">
        <v>335</v>
      </c>
      <c r="BU35" s="227"/>
      <c r="BV35" s="227" t="s">
        <v>335</v>
      </c>
      <c r="BW35" s="227" t="s">
        <v>335</v>
      </c>
      <c r="BX35" s="189" t="s">
        <v>990</v>
      </c>
      <c r="BY35" s="189"/>
      <c r="CA35" s="177" t="s">
        <v>170</v>
      </c>
      <c r="CB35" s="187">
        <v>7355.4</v>
      </c>
      <c r="CC35" s="186">
        <v>12792</v>
      </c>
      <c r="CD35" s="186">
        <v>4</v>
      </c>
      <c r="CE35" s="173">
        <v>24</v>
      </c>
      <c r="CF35" s="173">
        <f t="shared" si="21"/>
        <v>24</v>
      </c>
      <c r="CG35" s="173">
        <f t="shared" si="22"/>
        <v>6</v>
      </c>
      <c r="CK35" s="173">
        <f t="shared" si="23"/>
        <v>0</v>
      </c>
    </row>
    <row r="36" spans="1:89" ht="15" customHeight="1">
      <c r="A36" s="177" t="s">
        <v>82</v>
      </c>
      <c r="B36" s="173" t="s">
        <v>564</v>
      </c>
      <c r="C36" s="175">
        <v>82</v>
      </c>
      <c r="D36" s="173" t="s">
        <v>588</v>
      </c>
      <c r="E36" s="177" t="s">
        <v>108</v>
      </c>
      <c r="F36" s="213" t="s">
        <v>1129</v>
      </c>
      <c r="G36" s="213" t="s">
        <v>1130</v>
      </c>
      <c r="H36" s="213" t="s">
        <v>73</v>
      </c>
      <c r="I36" s="213" t="s">
        <v>1131</v>
      </c>
      <c r="J36" s="213" t="s">
        <v>1132</v>
      </c>
      <c r="K36" s="214" t="s">
        <v>88</v>
      </c>
      <c r="L36" s="213" t="s">
        <v>1133</v>
      </c>
      <c r="M36" s="213" t="s">
        <v>1134</v>
      </c>
      <c r="N36" s="213"/>
      <c r="O36" s="213"/>
      <c r="P36" s="177">
        <v>5.7</v>
      </c>
      <c r="Q36" s="177">
        <v>3.65</v>
      </c>
      <c r="R36" s="177">
        <v>1</v>
      </c>
      <c r="S36" s="215" t="s">
        <v>831</v>
      </c>
      <c r="T36" s="177">
        <v>0.2</v>
      </c>
      <c r="U36" s="178">
        <v>1.2039930555555555E-2</v>
      </c>
      <c r="V36" s="173" t="s">
        <v>565</v>
      </c>
      <c r="W36" s="217">
        <v>6</v>
      </c>
      <c r="X36" s="177">
        <v>10.4</v>
      </c>
      <c r="Y36" s="177">
        <v>13.6</v>
      </c>
      <c r="Z36" s="177">
        <v>15.2</v>
      </c>
      <c r="AA36" s="177">
        <v>1.2</v>
      </c>
      <c r="AB36" s="178">
        <v>1.244148148148148</v>
      </c>
      <c r="AC36" s="177">
        <v>25</v>
      </c>
      <c r="AD36" s="177">
        <v>10.9</v>
      </c>
      <c r="AE36" s="177">
        <v>19</v>
      </c>
      <c r="AF36" s="177">
        <v>10.63</v>
      </c>
      <c r="AG36" s="177">
        <v>7</v>
      </c>
      <c r="AM36" s="218" t="s">
        <v>987</v>
      </c>
      <c r="AN36" s="177" t="s">
        <v>988</v>
      </c>
      <c r="AO36" s="177" t="s">
        <v>989</v>
      </c>
      <c r="AQ36" s="281">
        <v>1503</v>
      </c>
      <c r="AR36" s="219">
        <v>9018</v>
      </c>
      <c r="AS36" s="220">
        <v>173.42307692307693</v>
      </c>
      <c r="AT36" s="221">
        <v>0.11538461538461539</v>
      </c>
      <c r="AU36" s="222">
        <v>1.5713846153846154</v>
      </c>
      <c r="AV36" s="189">
        <v>5</v>
      </c>
      <c r="AW36" s="223">
        <f t="shared" si="24"/>
        <v>-1</v>
      </c>
      <c r="AX36" s="177">
        <v>10.4</v>
      </c>
      <c r="AY36" s="177">
        <v>3.6</v>
      </c>
      <c r="AZ36" s="177">
        <f>(15.2/6)*4</f>
        <v>10.133333333333333</v>
      </c>
      <c r="BA36" s="229">
        <v>1</v>
      </c>
      <c r="BB36" s="229"/>
      <c r="BC36" s="229"/>
      <c r="BD36" s="229"/>
      <c r="BE36" s="229"/>
      <c r="BF36" s="229"/>
      <c r="BG36" s="182">
        <f t="shared" si="0"/>
        <v>43.333333333333329</v>
      </c>
      <c r="BH36" s="224">
        <f t="shared" si="1"/>
        <v>0.92307692307692313</v>
      </c>
      <c r="BI36" s="182">
        <f t="shared" si="2"/>
        <v>5</v>
      </c>
      <c r="BJ36" s="182">
        <f t="shared" si="3"/>
        <v>5</v>
      </c>
      <c r="BL36" s="182"/>
      <c r="BM36" s="182"/>
      <c r="BN36" s="182"/>
      <c r="BP36" s="225">
        <f t="shared" si="4"/>
        <v>5</v>
      </c>
      <c r="BQ36" s="182">
        <f t="shared" si="5"/>
        <v>43.333333333333329</v>
      </c>
      <c r="BR36" s="173" t="s">
        <v>248</v>
      </c>
      <c r="BS36" s="226">
        <f t="shared" si="20"/>
        <v>11808.955384615385</v>
      </c>
      <c r="BT36" s="227" t="s">
        <v>335</v>
      </c>
      <c r="BU36" s="227"/>
      <c r="BV36" s="227"/>
      <c r="BW36" s="227" t="s">
        <v>335</v>
      </c>
      <c r="BX36" s="230" t="s">
        <v>1135</v>
      </c>
      <c r="BY36" s="189" t="s">
        <v>1123</v>
      </c>
      <c r="CA36" s="177" t="s">
        <v>108</v>
      </c>
      <c r="CB36" s="187">
        <v>8665.25</v>
      </c>
      <c r="CC36" s="186">
        <v>9018</v>
      </c>
      <c r="CD36" s="186">
        <v>5</v>
      </c>
      <c r="CE36" s="173">
        <v>25</v>
      </c>
      <c r="CF36" s="173">
        <f t="shared" si="21"/>
        <v>25</v>
      </c>
      <c r="CG36" s="173">
        <f t="shared" si="22"/>
        <v>5</v>
      </c>
      <c r="CK36" s="173">
        <f t="shared" si="23"/>
        <v>0</v>
      </c>
    </row>
    <row r="37" spans="1:89" ht="15" customHeight="1">
      <c r="A37" s="177" t="s">
        <v>82</v>
      </c>
      <c r="B37" s="173" t="s">
        <v>564</v>
      </c>
      <c r="C37" s="175">
        <v>115</v>
      </c>
      <c r="D37" s="173" t="s">
        <v>589</v>
      </c>
      <c r="E37" s="177" t="s">
        <v>174</v>
      </c>
      <c r="F37" s="213">
        <v>0</v>
      </c>
      <c r="G37" s="213">
        <v>0</v>
      </c>
      <c r="H37" s="213" t="s">
        <v>1124</v>
      </c>
      <c r="I37" s="213" t="s">
        <v>1136</v>
      </c>
      <c r="J37" s="213" t="s">
        <v>1031</v>
      </c>
      <c r="K37" s="214" t="s">
        <v>294</v>
      </c>
      <c r="L37" s="213"/>
      <c r="M37" s="213" t="s">
        <v>1137</v>
      </c>
      <c r="N37" s="213" t="s">
        <v>1138</v>
      </c>
      <c r="O37" s="213" t="s">
        <v>1139</v>
      </c>
      <c r="P37" s="177">
        <v>7.375</v>
      </c>
      <c r="Q37" s="177">
        <v>5</v>
      </c>
      <c r="R37" s="177">
        <v>3</v>
      </c>
      <c r="S37" s="215">
        <v>730007000344</v>
      </c>
      <c r="T37" s="177">
        <v>0.3</v>
      </c>
      <c r="U37" s="178">
        <v>6.4019097222222224E-2</v>
      </c>
      <c r="V37" s="173" t="s">
        <v>572</v>
      </c>
      <c r="W37" s="217">
        <v>6</v>
      </c>
      <c r="X37" s="177">
        <v>7</v>
      </c>
      <c r="Y37" s="177">
        <v>5.25</v>
      </c>
      <c r="Z37" s="177">
        <v>18</v>
      </c>
      <c r="AA37" s="177">
        <v>1.7</v>
      </c>
      <c r="AB37" s="178">
        <v>0.3828125</v>
      </c>
      <c r="AC37" s="177">
        <v>24</v>
      </c>
      <c r="AD37" s="177">
        <v>15</v>
      </c>
      <c r="AE37" s="177">
        <v>16.75</v>
      </c>
      <c r="AF37" s="177">
        <v>12.5</v>
      </c>
      <c r="AG37" s="177">
        <v>8.8000000000000007</v>
      </c>
      <c r="AM37" s="218" t="s">
        <v>987</v>
      </c>
      <c r="AN37" s="177" t="s">
        <v>988</v>
      </c>
      <c r="AO37" s="177" t="s">
        <v>989</v>
      </c>
      <c r="AQ37" s="281">
        <v>1599</v>
      </c>
      <c r="AR37" s="219">
        <v>12792</v>
      </c>
      <c r="AS37" s="220">
        <v>246</v>
      </c>
      <c r="AT37" s="221">
        <v>0.15384615384615385</v>
      </c>
      <c r="AU37" s="222">
        <v>1.2461538461538462</v>
      </c>
      <c r="AV37" s="189">
        <v>4</v>
      </c>
      <c r="AW37" s="223">
        <f t="shared" si="24"/>
        <v>-2</v>
      </c>
      <c r="AX37" s="177">
        <v>7</v>
      </c>
      <c r="AY37" s="177">
        <v>5.25</v>
      </c>
      <c r="AZ37" s="177">
        <f>(18/6)*4</f>
        <v>12</v>
      </c>
      <c r="BA37" s="229">
        <f>(1.7/6)*4</f>
        <v>1.1333333333333333</v>
      </c>
      <c r="BB37" s="229"/>
      <c r="BC37" s="229"/>
      <c r="BD37" s="229"/>
      <c r="BE37" s="229"/>
      <c r="BF37" s="229"/>
      <c r="BG37" s="182">
        <f t="shared" si="0"/>
        <v>26</v>
      </c>
      <c r="BH37" s="224">
        <f t="shared" si="1"/>
        <v>1.2307692307692308</v>
      </c>
      <c r="BI37" s="182">
        <f t="shared" si="2"/>
        <v>4</v>
      </c>
      <c r="BJ37" s="182">
        <f t="shared" si="3"/>
        <v>4</v>
      </c>
      <c r="BL37" s="182"/>
      <c r="BM37" s="182"/>
      <c r="BN37" s="182"/>
      <c r="BP37" s="225">
        <f t="shared" si="4"/>
        <v>4</v>
      </c>
      <c r="BQ37" s="182">
        <f t="shared" si="5"/>
        <v>26</v>
      </c>
      <c r="BR37" s="173" t="s">
        <v>204</v>
      </c>
      <c r="BS37" s="226">
        <f t="shared" si="20"/>
        <v>7970.4</v>
      </c>
      <c r="BT37" s="227" t="s">
        <v>335</v>
      </c>
      <c r="BU37" s="227"/>
      <c r="BV37" s="227" t="s">
        <v>335</v>
      </c>
      <c r="BW37" s="227" t="s">
        <v>335</v>
      </c>
      <c r="BX37" s="189" t="s">
        <v>990</v>
      </c>
      <c r="BY37" s="189"/>
      <c r="CA37" s="177" t="s">
        <v>174</v>
      </c>
      <c r="CB37" s="187">
        <v>7355.4</v>
      </c>
      <c r="CC37" s="186">
        <v>12792</v>
      </c>
      <c r="CD37" s="186">
        <v>4</v>
      </c>
      <c r="CE37" s="173">
        <v>24</v>
      </c>
      <c r="CF37" s="173">
        <f t="shared" si="21"/>
        <v>24</v>
      </c>
      <c r="CG37" s="173">
        <f t="shared" si="22"/>
        <v>6</v>
      </c>
      <c r="CK37" s="173">
        <f t="shared" si="23"/>
        <v>0</v>
      </c>
    </row>
    <row r="38" spans="1:89" ht="15" customHeight="1">
      <c r="A38" s="177" t="s">
        <v>82</v>
      </c>
      <c r="B38" s="173" t="s">
        <v>564</v>
      </c>
      <c r="C38" s="175">
        <v>116</v>
      </c>
      <c r="D38" s="173" t="s">
        <v>362</v>
      </c>
      <c r="E38" s="177" t="s">
        <v>139</v>
      </c>
      <c r="F38" s="213" t="s">
        <v>1016</v>
      </c>
      <c r="G38" s="213" t="s">
        <v>1017</v>
      </c>
      <c r="H38" s="213" t="s">
        <v>73</v>
      </c>
      <c r="I38" s="213" t="s">
        <v>1140</v>
      </c>
      <c r="J38" s="213" t="s">
        <v>1031</v>
      </c>
      <c r="K38" s="214" t="s">
        <v>363</v>
      </c>
      <c r="L38" s="213" t="s">
        <v>1141</v>
      </c>
      <c r="M38" s="213" t="s">
        <v>1142</v>
      </c>
      <c r="N38" s="213"/>
      <c r="O38" s="213"/>
      <c r="P38" s="177">
        <v>7.375</v>
      </c>
      <c r="Q38" s="177">
        <v>4.875</v>
      </c>
      <c r="R38" s="177">
        <v>1</v>
      </c>
      <c r="S38" s="215">
        <v>730007000368</v>
      </c>
      <c r="T38" s="177">
        <v>0.21</v>
      </c>
      <c r="U38" s="178">
        <v>2.0806206597222224E-2</v>
      </c>
      <c r="V38" s="173" t="s">
        <v>565</v>
      </c>
      <c r="W38" s="217">
        <v>6</v>
      </c>
      <c r="X38" s="177">
        <v>7.62</v>
      </c>
      <c r="Y38" s="177">
        <v>4.625</v>
      </c>
      <c r="Z38" s="177">
        <v>6</v>
      </c>
      <c r="AA38" s="177">
        <v>1.25</v>
      </c>
      <c r="AB38" s="178">
        <v>0.12236979166666666</v>
      </c>
      <c r="AC38" s="177">
        <v>36</v>
      </c>
      <c r="AD38" s="177">
        <v>8.120000000000001</v>
      </c>
      <c r="AE38" s="177">
        <v>14.875</v>
      </c>
      <c r="AF38" s="177">
        <v>13</v>
      </c>
      <c r="AG38" s="177">
        <v>9.5</v>
      </c>
      <c r="AM38" s="218" t="s">
        <v>987</v>
      </c>
      <c r="AN38" s="177" t="s">
        <v>988</v>
      </c>
      <c r="AO38" s="177" t="s">
        <v>989</v>
      </c>
      <c r="AQ38" s="281">
        <v>1599</v>
      </c>
      <c r="AR38" s="219">
        <v>15990</v>
      </c>
      <c r="AS38" s="220">
        <v>307.5</v>
      </c>
      <c r="AT38" s="221">
        <v>0.19230769230769232</v>
      </c>
      <c r="AU38" s="222">
        <v>1.2527692307692309</v>
      </c>
      <c r="AV38" s="189">
        <v>6</v>
      </c>
      <c r="AW38" s="223">
        <f t="shared" si="24"/>
        <v>0</v>
      </c>
      <c r="AX38" s="177">
        <v>7.62</v>
      </c>
      <c r="AY38" s="177">
        <v>4.625</v>
      </c>
      <c r="AZ38" s="177">
        <v>6</v>
      </c>
      <c r="BA38" s="177">
        <v>1.25</v>
      </c>
      <c r="BG38" s="182">
        <f t="shared" si="0"/>
        <v>31.2</v>
      </c>
      <c r="BH38" s="224">
        <f t="shared" si="1"/>
        <v>1.5384615384615385</v>
      </c>
      <c r="BI38" s="182">
        <f t="shared" si="2"/>
        <v>6</v>
      </c>
      <c r="BJ38" s="182">
        <f t="shared" si="3"/>
        <v>6</v>
      </c>
      <c r="BL38" s="182"/>
      <c r="BM38" s="182"/>
      <c r="BN38" s="182"/>
      <c r="BP38" s="225">
        <f t="shared" si="4"/>
        <v>6</v>
      </c>
      <c r="BQ38" s="182">
        <f t="shared" si="5"/>
        <v>31.2</v>
      </c>
      <c r="BR38" s="173" t="s">
        <v>204</v>
      </c>
      <c r="BS38" s="226">
        <f t="shared" si="20"/>
        <v>12019.067999999999</v>
      </c>
      <c r="BT38" s="227" t="s">
        <v>335</v>
      </c>
      <c r="BU38" s="227"/>
      <c r="BV38" s="227" t="s">
        <v>335</v>
      </c>
      <c r="BW38" s="227" t="s">
        <v>335</v>
      </c>
      <c r="BX38" s="189" t="s">
        <v>1014</v>
      </c>
      <c r="BY38" s="189"/>
      <c r="CA38" s="177" t="s">
        <v>139</v>
      </c>
      <c r="CB38" s="187">
        <v>11033.1</v>
      </c>
      <c r="CC38" s="186">
        <v>15990</v>
      </c>
      <c r="CD38" s="186">
        <v>6</v>
      </c>
      <c r="CE38" s="173">
        <v>36</v>
      </c>
      <c r="CF38" s="173">
        <f t="shared" si="21"/>
        <v>36</v>
      </c>
      <c r="CG38" s="173">
        <f t="shared" si="22"/>
        <v>6</v>
      </c>
      <c r="CK38" s="173">
        <f t="shared" si="23"/>
        <v>0</v>
      </c>
    </row>
    <row r="39" spans="1:89" ht="15" customHeight="1">
      <c r="A39" s="177" t="s">
        <v>82</v>
      </c>
      <c r="B39" s="173" t="s">
        <v>564</v>
      </c>
      <c r="C39" s="175">
        <v>109</v>
      </c>
      <c r="D39" s="173" t="s">
        <v>224</v>
      </c>
      <c r="E39" s="177" t="s">
        <v>90</v>
      </c>
      <c r="F39" s="213" t="s">
        <v>1143</v>
      </c>
      <c r="G39" s="213" t="s">
        <v>1144</v>
      </c>
      <c r="H39" s="213" t="s">
        <v>73</v>
      </c>
      <c r="I39" s="213" t="s">
        <v>1145</v>
      </c>
      <c r="J39" s="213" t="s">
        <v>1031</v>
      </c>
      <c r="K39" s="214" t="s">
        <v>222</v>
      </c>
      <c r="L39" s="213" t="s">
        <v>1146</v>
      </c>
      <c r="M39" s="213" t="s">
        <v>1147</v>
      </c>
      <c r="N39" s="213"/>
      <c r="O39" s="213"/>
      <c r="P39" s="177">
        <v>6.5</v>
      </c>
      <c r="Q39" s="177">
        <v>3.65</v>
      </c>
      <c r="R39" s="177">
        <v>3</v>
      </c>
      <c r="S39" s="215">
        <v>730007000191</v>
      </c>
      <c r="T39" s="177">
        <v>0.28000000000000003</v>
      </c>
      <c r="U39" s="178">
        <v>4.118923611111111E-2</v>
      </c>
      <c r="V39" s="173" t="s">
        <v>565</v>
      </c>
      <c r="W39" s="217">
        <v>3</v>
      </c>
      <c r="X39" s="177">
        <v>5.75</v>
      </c>
      <c r="Y39" s="177">
        <v>3.68</v>
      </c>
      <c r="Z39" s="177">
        <v>9</v>
      </c>
      <c r="AA39" s="177">
        <v>0.86</v>
      </c>
      <c r="AB39" s="178">
        <v>0.11020833333333334</v>
      </c>
      <c r="AC39" s="177">
        <v>24</v>
      </c>
      <c r="AD39" s="177">
        <v>15.24</v>
      </c>
      <c r="AE39" s="177">
        <v>12.040000000000001</v>
      </c>
      <c r="AF39" s="177">
        <v>9.5</v>
      </c>
      <c r="AG39" s="177">
        <v>8.6000000000000014</v>
      </c>
      <c r="AM39" s="218" t="s">
        <v>987</v>
      </c>
      <c r="AN39" s="177" t="s">
        <v>988</v>
      </c>
      <c r="AO39" s="177" t="s">
        <v>989</v>
      </c>
      <c r="AQ39" s="281">
        <v>1599</v>
      </c>
      <c r="AR39" s="219">
        <v>7995</v>
      </c>
      <c r="AS39" s="220">
        <v>153.75</v>
      </c>
      <c r="AT39" s="221">
        <v>9.6153846153846159E-2</v>
      </c>
      <c r="AU39" s="222">
        <v>2.5999999999999996</v>
      </c>
      <c r="AV39" s="189">
        <v>4</v>
      </c>
      <c r="AW39" s="223">
        <f t="shared" si="24"/>
        <v>1</v>
      </c>
      <c r="AX39" s="177">
        <v>7.12</v>
      </c>
      <c r="AY39" s="177">
        <v>3.68</v>
      </c>
      <c r="AZ39" s="177">
        <v>9</v>
      </c>
      <c r="BA39" s="229">
        <v>1.1000000000000001</v>
      </c>
      <c r="BB39" s="229"/>
      <c r="BC39" s="229"/>
      <c r="BD39" s="229"/>
      <c r="BE39" s="229"/>
      <c r="BF39" s="229"/>
      <c r="BG39" s="182">
        <f t="shared" si="0"/>
        <v>41.599999999999994</v>
      </c>
      <c r="BH39" s="224">
        <f t="shared" si="1"/>
        <v>0.76923076923076927</v>
      </c>
      <c r="BI39" s="182">
        <f t="shared" si="2"/>
        <v>4</v>
      </c>
      <c r="BJ39" s="182">
        <f t="shared" si="3"/>
        <v>4</v>
      </c>
      <c r="BL39" s="182"/>
      <c r="BM39" s="182"/>
      <c r="BN39" s="182"/>
      <c r="BP39" s="225">
        <f t="shared" si="4"/>
        <v>4</v>
      </c>
      <c r="BQ39" s="182">
        <f t="shared" si="5"/>
        <v>41.599999999999994</v>
      </c>
      <c r="BR39" s="173" t="s">
        <v>217</v>
      </c>
      <c r="BS39" s="226">
        <f t="shared" si="20"/>
        <v>16629.599999999999</v>
      </c>
      <c r="BT39" s="227" t="s">
        <v>335</v>
      </c>
      <c r="BU39" s="227"/>
      <c r="BV39" s="227" t="s">
        <v>335</v>
      </c>
      <c r="BW39" s="227" t="s">
        <v>335</v>
      </c>
      <c r="BX39" s="230" t="s">
        <v>1122</v>
      </c>
      <c r="BY39" s="189" t="s">
        <v>1118</v>
      </c>
      <c r="CA39" s="177" t="s">
        <v>90</v>
      </c>
      <c r="CB39" s="187">
        <v>7355.4</v>
      </c>
      <c r="CC39" s="186">
        <v>7995</v>
      </c>
      <c r="CD39" s="186">
        <v>4</v>
      </c>
      <c r="CE39" s="173">
        <v>24</v>
      </c>
      <c r="CF39" s="173">
        <f t="shared" si="21"/>
        <v>24</v>
      </c>
      <c r="CG39" s="173">
        <f t="shared" si="22"/>
        <v>6</v>
      </c>
      <c r="CK39" s="173">
        <f t="shared" si="23"/>
        <v>0</v>
      </c>
    </row>
    <row r="40" spans="1:89" ht="15" customHeight="1">
      <c r="A40" s="177" t="s">
        <v>82</v>
      </c>
      <c r="B40" s="173" t="s">
        <v>564</v>
      </c>
      <c r="C40" s="175">
        <v>67</v>
      </c>
      <c r="D40" s="173" t="s">
        <v>501</v>
      </c>
      <c r="E40" s="177" t="s">
        <v>181</v>
      </c>
      <c r="F40" s="213">
        <v>0</v>
      </c>
      <c r="G40" s="213">
        <v>0</v>
      </c>
      <c r="H40" s="213" t="s">
        <v>1124</v>
      </c>
      <c r="I40" s="213" t="s">
        <v>1148</v>
      </c>
      <c r="J40" s="213" t="s">
        <v>1031</v>
      </c>
      <c r="K40" s="214" t="s">
        <v>272</v>
      </c>
      <c r="L40" s="213"/>
      <c r="N40" s="213" t="s">
        <v>1149</v>
      </c>
      <c r="O40" s="213" t="s">
        <v>1150</v>
      </c>
      <c r="P40" s="177">
        <v>8</v>
      </c>
      <c r="Q40" s="177">
        <v>8</v>
      </c>
      <c r="R40" s="177">
        <v>2</v>
      </c>
      <c r="S40" s="215">
        <v>730007000504</v>
      </c>
      <c r="T40" s="177">
        <v>0.5</v>
      </c>
      <c r="U40" s="178">
        <v>7.407407407407407E-2</v>
      </c>
      <c r="V40" s="173" t="s">
        <v>572</v>
      </c>
      <c r="W40" s="217">
        <v>3</v>
      </c>
      <c r="X40" s="177">
        <v>8.25</v>
      </c>
      <c r="Y40" s="177">
        <v>8.25</v>
      </c>
      <c r="Z40" s="177">
        <v>5</v>
      </c>
      <c r="AA40" s="177">
        <v>2.75</v>
      </c>
      <c r="AB40" s="178">
        <v>0.19694010416666666</v>
      </c>
      <c r="AC40" s="177">
        <v>24</v>
      </c>
      <c r="AD40" s="177">
        <v>8.75</v>
      </c>
      <c r="AE40" s="177">
        <v>17.5</v>
      </c>
      <c r="AF40" s="177">
        <v>21</v>
      </c>
      <c r="AG40" s="177">
        <v>24</v>
      </c>
      <c r="AM40" s="218" t="s">
        <v>987</v>
      </c>
      <c r="AN40" s="177" t="s">
        <v>988</v>
      </c>
      <c r="AO40" s="177" t="s">
        <v>989</v>
      </c>
      <c r="AQ40" s="281">
        <v>1503</v>
      </c>
      <c r="AR40" s="219">
        <v>9018</v>
      </c>
      <c r="AS40" s="220">
        <v>173.42307692307693</v>
      </c>
      <c r="AT40" s="221">
        <v>0.11538461538461539</v>
      </c>
      <c r="AU40" s="222">
        <v>2.3884615384615384</v>
      </c>
      <c r="AV40" s="189">
        <v>3</v>
      </c>
      <c r="AW40" s="223">
        <f t="shared" si="24"/>
        <v>0</v>
      </c>
      <c r="AX40" s="177">
        <v>8.25</v>
      </c>
      <c r="AY40" s="177">
        <v>8.25</v>
      </c>
      <c r="AZ40" s="177">
        <v>5</v>
      </c>
      <c r="BA40" s="177">
        <v>2.75</v>
      </c>
      <c r="BG40" s="182">
        <f t="shared" si="0"/>
        <v>26</v>
      </c>
      <c r="BH40" s="224">
        <f t="shared" si="1"/>
        <v>0.92307692307692313</v>
      </c>
      <c r="BI40" s="182">
        <f t="shared" si="2"/>
        <v>3</v>
      </c>
      <c r="BJ40" s="182">
        <f t="shared" si="3"/>
        <v>3</v>
      </c>
      <c r="BL40" s="182"/>
      <c r="BM40" s="182"/>
      <c r="BN40" s="182"/>
      <c r="BP40" s="225">
        <f t="shared" si="4"/>
        <v>3</v>
      </c>
      <c r="BQ40" s="182">
        <f t="shared" si="5"/>
        <v>26</v>
      </c>
      <c r="BR40" s="173" t="s">
        <v>204</v>
      </c>
      <c r="BS40" s="226">
        <f t="shared" si="20"/>
        <v>10769.573076923078</v>
      </c>
      <c r="BT40" s="227"/>
      <c r="BU40" s="227" t="s">
        <v>335</v>
      </c>
      <c r="BV40" s="227"/>
      <c r="BW40" s="227" t="s">
        <v>335</v>
      </c>
      <c r="BX40" s="189" t="s">
        <v>1014</v>
      </c>
      <c r="BY40" s="189"/>
      <c r="CA40" s="177" t="s">
        <v>181</v>
      </c>
      <c r="CB40" s="187">
        <v>634.79999999999995</v>
      </c>
      <c r="CC40" s="186">
        <v>9018</v>
      </c>
      <c r="CD40" s="186">
        <v>3</v>
      </c>
      <c r="CE40" s="173">
        <v>24</v>
      </c>
      <c r="CF40" s="173">
        <f t="shared" si="21"/>
        <v>24</v>
      </c>
      <c r="CG40" s="173">
        <f t="shared" si="22"/>
        <v>8</v>
      </c>
      <c r="CK40" s="173">
        <f t="shared" si="23"/>
        <v>0</v>
      </c>
    </row>
    <row r="41" spans="1:89" ht="15" customHeight="1">
      <c r="A41" s="177" t="s">
        <v>82</v>
      </c>
      <c r="B41" s="173" t="s">
        <v>564</v>
      </c>
      <c r="C41" s="175">
        <v>92</v>
      </c>
      <c r="D41" s="173" t="s">
        <v>286</v>
      </c>
      <c r="E41" s="177" t="s">
        <v>110</v>
      </c>
      <c r="F41" s="213" t="s">
        <v>1129</v>
      </c>
      <c r="G41" s="213" t="s">
        <v>1130</v>
      </c>
      <c r="H41" s="213" t="s">
        <v>73</v>
      </c>
      <c r="I41" s="213" t="s">
        <v>1151</v>
      </c>
      <c r="J41" s="213" t="s">
        <v>1132</v>
      </c>
      <c r="K41" s="214" t="s">
        <v>88</v>
      </c>
      <c r="L41" s="213" t="s">
        <v>1152</v>
      </c>
      <c r="M41" s="213" t="s">
        <v>1153</v>
      </c>
      <c r="N41" s="213"/>
      <c r="O41" s="213"/>
      <c r="P41" s="177">
        <v>5.7</v>
      </c>
      <c r="Q41" s="177">
        <v>3.65</v>
      </c>
      <c r="R41" s="177">
        <v>0.75</v>
      </c>
      <c r="S41" s="215" t="s">
        <v>833</v>
      </c>
      <c r="T41" s="177">
        <v>0.6</v>
      </c>
      <c r="U41" s="178">
        <v>9.0299479166666662E-3</v>
      </c>
      <c r="V41" s="173" t="s">
        <v>565</v>
      </c>
      <c r="W41" s="217">
        <v>6</v>
      </c>
      <c r="X41" s="177">
        <v>3</v>
      </c>
      <c r="Y41" s="177">
        <v>6.3</v>
      </c>
      <c r="Z41" s="177">
        <v>4.75</v>
      </c>
      <c r="AA41" s="177">
        <v>3.63</v>
      </c>
      <c r="AB41" s="178">
        <v>5.1953124999999996E-2</v>
      </c>
      <c r="AC41" s="177">
        <v>24</v>
      </c>
      <c r="AD41" s="177">
        <v>7</v>
      </c>
      <c r="AE41" s="177">
        <v>6.8</v>
      </c>
      <c r="AF41" s="177">
        <v>10.5</v>
      </c>
      <c r="AG41" s="177">
        <v>16.52</v>
      </c>
      <c r="AM41" s="218" t="s">
        <v>987</v>
      </c>
      <c r="AN41" s="177" t="s">
        <v>988</v>
      </c>
      <c r="AO41" s="177" t="s">
        <v>989</v>
      </c>
      <c r="AQ41" s="281">
        <v>1599</v>
      </c>
      <c r="AR41" s="219">
        <v>22386</v>
      </c>
      <c r="AS41" s="220">
        <v>430.5</v>
      </c>
      <c r="AT41" s="221">
        <v>0.26923076923076922</v>
      </c>
      <c r="AU41" s="222">
        <v>1.1538461538461537</v>
      </c>
      <c r="AV41" s="189">
        <v>6</v>
      </c>
      <c r="AW41" s="223">
        <f t="shared" si="24"/>
        <v>0</v>
      </c>
      <c r="AX41" s="177">
        <v>3</v>
      </c>
      <c r="AY41" s="228">
        <v>6.3</v>
      </c>
      <c r="AZ41" s="228">
        <v>4.75</v>
      </c>
      <c r="BA41" s="177">
        <v>3.63</v>
      </c>
      <c r="BG41" s="182">
        <f t="shared" si="0"/>
        <v>22.285714285714288</v>
      </c>
      <c r="BH41" s="224">
        <f t="shared" si="1"/>
        <v>2.1538461538461537</v>
      </c>
      <c r="BI41" s="182">
        <f t="shared" si="2"/>
        <v>6</v>
      </c>
      <c r="BJ41" s="182">
        <f t="shared" si="3"/>
        <v>6</v>
      </c>
      <c r="BL41" s="182"/>
      <c r="BM41" s="182"/>
      <c r="BN41" s="182"/>
      <c r="BP41" s="225">
        <f t="shared" si="4"/>
        <v>6</v>
      </c>
      <c r="BQ41" s="182">
        <f t="shared" si="5"/>
        <v>22.285714285714288</v>
      </c>
      <c r="BR41" s="173" t="s">
        <v>248</v>
      </c>
      <c r="BS41" s="226">
        <f t="shared" si="20"/>
        <v>11069.999999999998</v>
      </c>
      <c r="BT41" s="227" t="s">
        <v>335</v>
      </c>
      <c r="BU41" s="227"/>
      <c r="BV41" s="227" t="s">
        <v>335</v>
      </c>
      <c r="BW41" s="227" t="s">
        <v>335</v>
      </c>
      <c r="BX41" s="230" t="s">
        <v>1091</v>
      </c>
      <c r="BY41" s="231" t="s">
        <v>1154</v>
      </c>
      <c r="CA41" s="177" t="s">
        <v>110</v>
      </c>
      <c r="CB41" s="187">
        <v>11060.7</v>
      </c>
      <c r="CC41" s="186">
        <v>22386</v>
      </c>
      <c r="CD41" s="186">
        <v>6</v>
      </c>
      <c r="CE41" s="173">
        <v>24</v>
      </c>
      <c r="CF41" s="173">
        <f t="shared" si="21"/>
        <v>24</v>
      </c>
      <c r="CG41" s="173">
        <f t="shared" si="22"/>
        <v>4</v>
      </c>
      <c r="CK41" s="173">
        <f t="shared" si="23"/>
        <v>0</v>
      </c>
    </row>
    <row r="42" spans="1:89" ht="15" customHeight="1">
      <c r="A42" s="177" t="s">
        <v>82</v>
      </c>
      <c r="B42" s="173" t="s">
        <v>564</v>
      </c>
      <c r="C42" s="175">
        <v>112</v>
      </c>
      <c r="D42" s="173" t="s">
        <v>479</v>
      </c>
      <c r="E42" s="177" t="s">
        <v>171</v>
      </c>
      <c r="F42" s="213">
        <v>0</v>
      </c>
      <c r="G42" s="213">
        <v>0</v>
      </c>
      <c r="H42" s="213" t="s">
        <v>1124</v>
      </c>
      <c r="I42" s="213" t="s">
        <v>1155</v>
      </c>
      <c r="J42" s="213" t="s">
        <v>1031</v>
      </c>
      <c r="K42" s="214" t="s">
        <v>363</v>
      </c>
      <c r="L42" s="213"/>
      <c r="M42" s="213" t="s">
        <v>1156</v>
      </c>
      <c r="N42" s="213" t="s">
        <v>1157</v>
      </c>
      <c r="O42" s="213" t="s">
        <v>1158</v>
      </c>
      <c r="P42" s="177">
        <v>7.375</v>
      </c>
      <c r="Q42" s="177">
        <v>4.875</v>
      </c>
      <c r="R42" s="177">
        <v>3</v>
      </c>
      <c r="S42" s="215">
        <v>730007000313</v>
      </c>
      <c r="T42" s="177">
        <v>0.2</v>
      </c>
      <c r="U42" s="178">
        <v>6.2418619791666664E-2</v>
      </c>
      <c r="V42" s="173" t="s">
        <v>565</v>
      </c>
      <c r="W42" s="217">
        <v>6</v>
      </c>
      <c r="X42" s="177">
        <v>6</v>
      </c>
      <c r="Y42" s="177">
        <v>5.25</v>
      </c>
      <c r="Z42" s="177">
        <v>15.2</v>
      </c>
      <c r="AA42" s="177">
        <v>1.7</v>
      </c>
      <c r="AB42" s="178">
        <v>0.27708333333333329</v>
      </c>
      <c r="AC42" s="177">
        <v>24</v>
      </c>
      <c r="AD42" s="177">
        <v>13</v>
      </c>
      <c r="AE42" s="177">
        <v>11.5</v>
      </c>
      <c r="AF42" s="177">
        <v>15.7</v>
      </c>
      <c r="AG42" s="177">
        <v>8.8000000000000007</v>
      </c>
      <c r="AM42" s="218" t="s">
        <v>987</v>
      </c>
      <c r="AN42" s="177" t="s">
        <v>988</v>
      </c>
      <c r="AO42" s="177" t="s">
        <v>989</v>
      </c>
      <c r="AQ42" s="281">
        <v>1599</v>
      </c>
      <c r="AR42" s="219">
        <v>15990</v>
      </c>
      <c r="AS42" s="220">
        <v>307.5</v>
      </c>
      <c r="AT42" s="221">
        <v>0.19230769230769232</v>
      </c>
      <c r="AU42" s="222">
        <v>1.0633846153846154</v>
      </c>
      <c r="AV42" s="189">
        <v>6</v>
      </c>
      <c r="AW42" s="223">
        <f t="shared" si="24"/>
        <v>0</v>
      </c>
      <c r="AX42" s="177">
        <v>6</v>
      </c>
      <c r="AY42" s="177">
        <v>5.25</v>
      </c>
      <c r="AZ42" s="177">
        <v>15.2</v>
      </c>
      <c r="BA42" s="177">
        <v>1.7</v>
      </c>
      <c r="BG42" s="182">
        <f t="shared" si="0"/>
        <v>31.2</v>
      </c>
      <c r="BH42" s="224">
        <f t="shared" si="1"/>
        <v>1.5384615384615385</v>
      </c>
      <c r="BI42" s="182">
        <f t="shared" si="2"/>
        <v>6</v>
      </c>
      <c r="BJ42" s="182">
        <f t="shared" si="3"/>
        <v>6</v>
      </c>
      <c r="BL42" s="182"/>
      <c r="BM42" s="182"/>
      <c r="BN42" s="182"/>
      <c r="BP42" s="225">
        <f t="shared" si="4"/>
        <v>6</v>
      </c>
      <c r="BQ42" s="182">
        <f t="shared" si="5"/>
        <v>31.2</v>
      </c>
      <c r="BR42" s="173" t="s">
        <v>204</v>
      </c>
      <c r="BS42" s="226">
        <f t="shared" si="20"/>
        <v>10202.111999999999</v>
      </c>
      <c r="BT42" s="227" t="s">
        <v>335</v>
      </c>
      <c r="BU42" s="227"/>
      <c r="BV42" s="227" t="s">
        <v>335</v>
      </c>
      <c r="BW42" s="227" t="s">
        <v>335</v>
      </c>
      <c r="BX42" s="189" t="s">
        <v>1014</v>
      </c>
      <c r="BY42" s="189"/>
      <c r="CA42" s="177" t="s">
        <v>171</v>
      </c>
      <c r="CB42" s="187">
        <v>11033.1</v>
      </c>
      <c r="CC42" s="186">
        <v>15990</v>
      </c>
      <c r="CD42" s="186">
        <v>6</v>
      </c>
      <c r="CE42" s="173">
        <v>24</v>
      </c>
      <c r="CF42" s="173">
        <f t="shared" si="21"/>
        <v>24</v>
      </c>
      <c r="CG42" s="173">
        <f t="shared" si="22"/>
        <v>4</v>
      </c>
      <c r="CK42" s="173">
        <f t="shared" si="23"/>
        <v>0</v>
      </c>
    </row>
    <row r="43" spans="1:89" ht="15" customHeight="1">
      <c r="A43" s="177" t="s">
        <v>82</v>
      </c>
      <c r="B43" s="173" t="s">
        <v>564</v>
      </c>
      <c r="C43" s="175">
        <v>73</v>
      </c>
      <c r="D43" s="173" t="s">
        <v>591</v>
      </c>
      <c r="E43" s="177" t="s">
        <v>127</v>
      </c>
      <c r="F43" s="213" t="s">
        <v>1040</v>
      </c>
      <c r="G43" s="213" t="s">
        <v>1041</v>
      </c>
      <c r="H43" s="213" t="s">
        <v>122</v>
      </c>
      <c r="I43" s="213" t="s">
        <v>1159</v>
      </c>
      <c r="J43" s="213" t="s">
        <v>1019</v>
      </c>
      <c r="K43" s="214" t="s">
        <v>272</v>
      </c>
      <c r="L43" s="213" t="s">
        <v>1160</v>
      </c>
      <c r="M43" s="213" t="s">
        <v>1161</v>
      </c>
      <c r="N43" s="213"/>
      <c r="O43" s="213"/>
      <c r="P43" s="177">
        <v>10</v>
      </c>
      <c r="Q43" s="177">
        <v>6</v>
      </c>
      <c r="R43" s="177">
        <v>3.5</v>
      </c>
      <c r="S43" s="215" t="s">
        <v>842</v>
      </c>
      <c r="T43" s="177">
        <v>2.5</v>
      </c>
      <c r="U43" s="178">
        <v>0.12152777777777778</v>
      </c>
      <c r="V43" s="173" t="s">
        <v>565</v>
      </c>
      <c r="W43" s="177" t="s">
        <v>335</v>
      </c>
      <c r="X43" s="177" t="s">
        <v>335</v>
      </c>
      <c r="Y43" s="177" t="s">
        <v>335</v>
      </c>
      <c r="Z43" s="177" t="s">
        <v>335</v>
      </c>
      <c r="AA43" s="177" t="s">
        <v>335</v>
      </c>
      <c r="AB43" s="178" t="e">
        <v>#VALUE!</v>
      </c>
      <c r="AC43" s="217">
        <v>6</v>
      </c>
      <c r="AD43" s="177">
        <v>11.5</v>
      </c>
      <c r="AE43" s="177">
        <v>13.75</v>
      </c>
      <c r="AF43" s="177">
        <v>12</v>
      </c>
      <c r="AG43" s="177">
        <v>10.6</v>
      </c>
      <c r="AM43" s="218" t="s">
        <v>987</v>
      </c>
      <c r="AN43" s="177" t="s">
        <v>988</v>
      </c>
      <c r="AO43" s="177" t="s">
        <v>989</v>
      </c>
      <c r="AQ43" s="281">
        <v>280</v>
      </c>
      <c r="AR43" s="219">
        <v>2800</v>
      </c>
      <c r="AS43" s="220">
        <v>53.846153846153847</v>
      </c>
      <c r="AT43" s="221">
        <v>0.19230769230769232</v>
      </c>
      <c r="AU43" s="222">
        <v>6.9999999999999991</v>
      </c>
      <c r="AV43" s="189">
        <v>3</v>
      </c>
      <c r="AW43" s="223">
        <f>AV43-AC43</f>
        <v>-3</v>
      </c>
      <c r="AX43" s="177">
        <v>11</v>
      </c>
      <c r="AY43" s="177">
        <v>13.25</v>
      </c>
      <c r="AZ43" s="177">
        <f>11/2</f>
        <v>5.5</v>
      </c>
      <c r="BA43" s="177">
        <f>8.6/2</f>
        <v>4.3</v>
      </c>
      <c r="BG43" s="182">
        <f t="shared" si="0"/>
        <v>15.6</v>
      </c>
      <c r="BH43" s="224">
        <f t="shared" si="1"/>
        <v>1.5384615384615385</v>
      </c>
      <c r="BI43" s="182">
        <f t="shared" si="2"/>
        <v>3</v>
      </c>
      <c r="BJ43" s="182">
        <f t="shared" si="3"/>
        <v>3</v>
      </c>
      <c r="BL43" s="182"/>
      <c r="BM43" s="182"/>
      <c r="BN43" s="182"/>
      <c r="BP43" s="225">
        <f t="shared" si="4"/>
        <v>3</v>
      </c>
      <c r="BQ43" s="182">
        <f t="shared" si="5"/>
        <v>15.6</v>
      </c>
      <c r="BR43" s="173" t="s">
        <v>204</v>
      </c>
      <c r="BS43" s="226">
        <f t="shared" si="20"/>
        <v>5879.9999999999991</v>
      </c>
      <c r="BT43" s="227"/>
      <c r="BU43" s="227" t="s">
        <v>335</v>
      </c>
      <c r="BV43" s="227" t="s">
        <v>335</v>
      </c>
      <c r="BW43" s="227" t="s">
        <v>335</v>
      </c>
      <c r="BX43" s="189" t="s">
        <v>990</v>
      </c>
      <c r="BY43" s="189"/>
      <c r="CA43" s="177" t="s">
        <v>127</v>
      </c>
      <c r="CB43" s="187">
        <v>966</v>
      </c>
      <c r="CC43" s="186">
        <v>2800</v>
      </c>
      <c r="CD43" s="186">
        <v>3</v>
      </c>
      <c r="CE43" s="173">
        <v>6</v>
      </c>
      <c r="CF43" s="173">
        <f t="shared" si="21"/>
        <v>6</v>
      </c>
      <c r="CG43" s="173">
        <f t="shared" si="22"/>
        <v>2</v>
      </c>
      <c r="CK43" s="173">
        <f t="shared" si="23"/>
        <v>0</v>
      </c>
    </row>
    <row r="44" spans="1:89" ht="15" customHeight="1">
      <c r="A44" s="177" t="s">
        <v>82</v>
      </c>
      <c r="B44" s="173" t="s">
        <v>564</v>
      </c>
      <c r="C44" s="175">
        <v>88</v>
      </c>
      <c r="D44" s="173" t="s">
        <v>492</v>
      </c>
      <c r="E44" s="232" t="s">
        <v>176</v>
      </c>
      <c r="F44" s="213" t="s">
        <v>1056</v>
      </c>
      <c r="G44" s="213" t="s">
        <v>1057</v>
      </c>
      <c r="H44" s="213" t="s">
        <v>73</v>
      </c>
      <c r="I44" s="213" t="s">
        <v>1162</v>
      </c>
      <c r="J44" s="213" t="s">
        <v>1031</v>
      </c>
      <c r="K44" s="214" t="s">
        <v>88</v>
      </c>
      <c r="L44" s="213" t="s">
        <v>1163</v>
      </c>
      <c r="M44" s="213"/>
      <c r="N44" s="213"/>
      <c r="O44" s="213"/>
      <c r="P44" s="177">
        <v>5.7</v>
      </c>
      <c r="Q44" s="177">
        <v>3.65</v>
      </c>
      <c r="R44" s="177">
        <v>3</v>
      </c>
      <c r="S44" s="215" t="s">
        <v>886</v>
      </c>
      <c r="T44" s="177">
        <v>0.28000000000000003</v>
      </c>
      <c r="U44" s="178">
        <v>3.6119791666666665E-2</v>
      </c>
      <c r="V44" s="173" t="s">
        <v>565</v>
      </c>
      <c r="W44" s="217">
        <v>3</v>
      </c>
      <c r="X44" s="177">
        <v>3.15</v>
      </c>
      <c r="Y44" s="177">
        <v>3.15</v>
      </c>
      <c r="Z44" s="177">
        <v>3.5</v>
      </c>
      <c r="AA44" s="177">
        <v>1.38</v>
      </c>
      <c r="AB44" s="178">
        <v>2.0097656249999998E-2</v>
      </c>
      <c r="AC44" s="177">
        <v>12</v>
      </c>
      <c r="AD44" s="177">
        <v>11.5</v>
      </c>
      <c r="AE44" s="177">
        <v>5.5</v>
      </c>
      <c r="AF44" s="177">
        <v>7.5</v>
      </c>
      <c r="AG44" s="177">
        <v>6.8000000000000007</v>
      </c>
      <c r="AM44" s="218" t="s">
        <v>987</v>
      </c>
      <c r="AN44" s="177" t="s">
        <v>988</v>
      </c>
      <c r="AO44" s="177" t="s">
        <v>989</v>
      </c>
      <c r="AQ44" s="281">
        <v>1599</v>
      </c>
      <c r="AR44" s="219">
        <v>15990</v>
      </c>
      <c r="AS44" s="220">
        <v>307.5</v>
      </c>
      <c r="AT44" s="221">
        <v>0.19230769230769232</v>
      </c>
      <c r="AU44" s="222">
        <v>1.2923076923076922</v>
      </c>
      <c r="AV44" s="189">
        <v>4</v>
      </c>
      <c r="AW44" s="223">
        <f t="shared" ref="AW44:AW71" si="25">AV44-W44</f>
        <v>1</v>
      </c>
      <c r="AX44" s="177">
        <v>3.5</v>
      </c>
      <c r="AY44" s="229">
        <v>5</v>
      </c>
      <c r="AZ44" s="229">
        <v>7</v>
      </c>
      <c r="BA44" s="177">
        <v>1.6</v>
      </c>
      <c r="BG44" s="182">
        <f t="shared" si="0"/>
        <v>20.799999999999997</v>
      </c>
      <c r="BH44" s="224">
        <f t="shared" si="1"/>
        <v>1.5384615384615385</v>
      </c>
      <c r="BI44" s="182">
        <f t="shared" si="2"/>
        <v>4</v>
      </c>
      <c r="BJ44" s="182">
        <f t="shared" si="3"/>
        <v>4</v>
      </c>
      <c r="BL44" s="182"/>
      <c r="BM44" s="182"/>
      <c r="BN44" s="182"/>
      <c r="BP44" s="225">
        <f t="shared" si="4"/>
        <v>4</v>
      </c>
      <c r="BQ44" s="182">
        <f t="shared" si="5"/>
        <v>20.799999999999997</v>
      </c>
      <c r="BR44" s="173" t="s">
        <v>204</v>
      </c>
      <c r="BS44" s="226">
        <f t="shared" si="20"/>
        <v>8265.5999999999985</v>
      </c>
      <c r="BT44" s="227" t="s">
        <v>335</v>
      </c>
      <c r="BU44" s="227"/>
      <c r="BV44" s="227" t="s">
        <v>335</v>
      </c>
      <c r="BW44" s="227" t="s">
        <v>335</v>
      </c>
      <c r="BX44" s="230" t="s">
        <v>1091</v>
      </c>
      <c r="BY44" s="189" t="s">
        <v>1118</v>
      </c>
      <c r="CA44" s="232" t="s">
        <v>176</v>
      </c>
      <c r="CB44" s="187">
        <v>7355.4</v>
      </c>
      <c r="CC44" s="186">
        <v>15990</v>
      </c>
      <c r="CD44" s="186">
        <v>4</v>
      </c>
      <c r="CE44" s="173">
        <v>12</v>
      </c>
      <c r="CF44" s="173">
        <f t="shared" si="21"/>
        <v>12</v>
      </c>
      <c r="CG44" s="173">
        <f t="shared" si="22"/>
        <v>3</v>
      </c>
      <c r="CK44" s="173">
        <f t="shared" si="23"/>
        <v>0</v>
      </c>
    </row>
    <row r="45" spans="1:89" ht="15" customHeight="1">
      <c r="A45" s="177" t="s">
        <v>82</v>
      </c>
      <c r="B45" s="173" t="s">
        <v>564</v>
      </c>
      <c r="C45" s="175">
        <v>108</v>
      </c>
      <c r="D45" s="173" t="s">
        <v>221</v>
      </c>
      <c r="E45" s="177" t="s">
        <v>89</v>
      </c>
      <c r="F45" s="213" t="s">
        <v>1143</v>
      </c>
      <c r="G45" s="213" t="s">
        <v>1144</v>
      </c>
      <c r="H45" s="213" t="s">
        <v>73</v>
      </c>
      <c r="I45" s="213" t="s">
        <v>1164</v>
      </c>
      <c r="J45" s="213" t="s">
        <v>1031</v>
      </c>
      <c r="K45" s="214" t="s">
        <v>222</v>
      </c>
      <c r="L45" s="213" t="s">
        <v>1165</v>
      </c>
      <c r="M45" s="213" t="s">
        <v>1166</v>
      </c>
      <c r="N45" s="213"/>
      <c r="O45" s="213"/>
      <c r="P45" s="177">
        <v>6.5</v>
      </c>
      <c r="Q45" s="177">
        <v>3.65</v>
      </c>
      <c r="R45" s="177">
        <v>2.25</v>
      </c>
      <c r="S45" s="215">
        <v>730007000184</v>
      </c>
      <c r="T45" s="177">
        <v>0.13</v>
      </c>
      <c r="U45" s="178">
        <v>3.0891927083333329E-2</v>
      </c>
      <c r="V45" s="173" t="s">
        <v>565</v>
      </c>
      <c r="W45" s="217">
        <v>3</v>
      </c>
      <c r="X45" s="177">
        <v>5.75</v>
      </c>
      <c r="Y45" s="177">
        <v>3.68</v>
      </c>
      <c r="Z45" s="177">
        <v>7.5</v>
      </c>
      <c r="AA45" s="177">
        <v>0.41</v>
      </c>
      <c r="AB45" s="178">
        <v>9.1840277777777771E-2</v>
      </c>
      <c r="AC45" s="177">
        <v>24</v>
      </c>
      <c r="AD45" s="177">
        <v>15.24</v>
      </c>
      <c r="AE45" s="177">
        <v>12.040000000000001</v>
      </c>
      <c r="AF45" s="177">
        <v>9.5</v>
      </c>
      <c r="AG45" s="177">
        <v>8.6000000000000014</v>
      </c>
      <c r="AM45" s="218" t="s">
        <v>987</v>
      </c>
      <c r="AN45" s="177" t="s">
        <v>988</v>
      </c>
      <c r="AO45" s="177" t="s">
        <v>989</v>
      </c>
      <c r="AQ45" s="281">
        <v>1599</v>
      </c>
      <c r="AR45" s="219">
        <v>11193</v>
      </c>
      <c r="AS45" s="220">
        <v>215.25</v>
      </c>
      <c r="AT45" s="221">
        <v>0.13461538461538461</v>
      </c>
      <c r="AU45" s="222">
        <v>2.1846153846153844</v>
      </c>
      <c r="AV45" s="189">
        <v>4</v>
      </c>
      <c r="AW45" s="223">
        <f t="shared" si="25"/>
        <v>1</v>
      </c>
      <c r="AX45" s="177">
        <v>7.12</v>
      </c>
      <c r="AY45" s="177">
        <v>3.68</v>
      </c>
      <c r="AZ45" s="177">
        <v>9</v>
      </c>
      <c r="BA45" s="229">
        <v>1.1000000000000001</v>
      </c>
      <c r="BB45" s="229"/>
      <c r="BC45" s="229"/>
      <c r="BD45" s="229"/>
      <c r="BE45" s="229"/>
      <c r="BF45" s="229"/>
      <c r="BG45" s="182">
        <f t="shared" si="0"/>
        <v>29.714285714285715</v>
      </c>
      <c r="BH45" s="224">
        <f t="shared" si="1"/>
        <v>1.0769230769230769</v>
      </c>
      <c r="BI45" s="182">
        <f t="shared" si="2"/>
        <v>4</v>
      </c>
      <c r="BJ45" s="182">
        <f t="shared" si="3"/>
        <v>4</v>
      </c>
      <c r="BL45" s="182"/>
      <c r="BM45" s="182"/>
      <c r="BN45" s="182"/>
      <c r="BP45" s="225">
        <f t="shared" si="4"/>
        <v>4</v>
      </c>
      <c r="BQ45" s="182">
        <f t="shared" si="5"/>
        <v>29.714285714285715</v>
      </c>
      <c r="BR45" s="173" t="s">
        <v>217</v>
      </c>
      <c r="BS45" s="226">
        <f t="shared" si="20"/>
        <v>13972.8</v>
      </c>
      <c r="BT45" s="227" t="s">
        <v>335</v>
      </c>
      <c r="BU45" s="227"/>
      <c r="BV45" s="227" t="s">
        <v>335</v>
      </c>
      <c r="BW45" s="227" t="s">
        <v>335</v>
      </c>
      <c r="BX45" s="230" t="s">
        <v>1122</v>
      </c>
      <c r="BY45" s="189" t="s">
        <v>1118</v>
      </c>
      <c r="CA45" s="177" t="s">
        <v>89</v>
      </c>
      <c r="CB45" s="187">
        <v>7355.4</v>
      </c>
      <c r="CC45" s="186">
        <v>11193</v>
      </c>
      <c r="CD45" s="186">
        <v>4</v>
      </c>
      <c r="CE45" s="173">
        <v>24</v>
      </c>
      <c r="CF45" s="173">
        <f t="shared" si="21"/>
        <v>24</v>
      </c>
      <c r="CG45" s="173">
        <f t="shared" si="22"/>
        <v>6</v>
      </c>
      <c r="CK45" s="173">
        <f t="shared" si="23"/>
        <v>0</v>
      </c>
    </row>
    <row r="46" spans="1:89" ht="15" customHeight="1">
      <c r="A46" s="177" t="s">
        <v>82</v>
      </c>
      <c r="B46" s="173" t="s">
        <v>564</v>
      </c>
      <c r="C46" s="175">
        <v>91</v>
      </c>
      <c r="D46" s="173" t="s">
        <v>288</v>
      </c>
      <c r="E46" s="177" t="s">
        <v>112</v>
      </c>
      <c r="F46" s="213" t="s">
        <v>1129</v>
      </c>
      <c r="G46" s="213" t="s">
        <v>1130</v>
      </c>
      <c r="H46" s="213" t="s">
        <v>73</v>
      </c>
      <c r="I46" s="213" t="s">
        <v>1167</v>
      </c>
      <c r="J46" s="213" t="s">
        <v>1132</v>
      </c>
      <c r="K46" s="214" t="s">
        <v>88</v>
      </c>
      <c r="L46" s="213" t="s">
        <v>1168</v>
      </c>
      <c r="M46" s="213" t="s">
        <v>1169</v>
      </c>
      <c r="N46" s="213"/>
      <c r="O46" s="213"/>
      <c r="P46" s="177">
        <v>5.7</v>
      </c>
      <c r="Q46" s="177">
        <v>3.65</v>
      </c>
      <c r="R46" s="177">
        <v>0.75</v>
      </c>
      <c r="S46" s="215" t="s">
        <v>834</v>
      </c>
      <c r="T46" s="177">
        <v>0.22</v>
      </c>
      <c r="U46" s="178">
        <v>9.0299479166666662E-3</v>
      </c>
      <c r="V46" s="173" t="s">
        <v>565</v>
      </c>
      <c r="W46" s="217">
        <v>6</v>
      </c>
      <c r="X46" s="177">
        <v>4.0999999999999996</v>
      </c>
      <c r="Y46" s="177">
        <v>6</v>
      </c>
      <c r="Z46" s="177">
        <v>3.1</v>
      </c>
      <c r="AA46" s="177">
        <v>1.33</v>
      </c>
      <c r="AB46" s="178">
        <v>4.4131944444444439E-2</v>
      </c>
      <c r="AC46" s="177">
        <v>24</v>
      </c>
      <c r="AD46" s="177">
        <v>9.1999999999999993</v>
      </c>
      <c r="AE46" s="177">
        <v>6.5</v>
      </c>
      <c r="AF46" s="177">
        <v>7.2</v>
      </c>
      <c r="AG46" s="177">
        <v>7.32</v>
      </c>
      <c r="AM46" s="218" t="s">
        <v>987</v>
      </c>
      <c r="AN46" s="177" t="s">
        <v>988</v>
      </c>
      <c r="AO46" s="177" t="s">
        <v>989</v>
      </c>
      <c r="AQ46" s="281">
        <v>1599</v>
      </c>
      <c r="AR46" s="219">
        <v>33579</v>
      </c>
      <c r="AS46" s="220">
        <v>645.75</v>
      </c>
      <c r="AT46" s="221">
        <v>0.40384615384615385</v>
      </c>
      <c r="AU46" s="222">
        <v>0.55384615384615377</v>
      </c>
      <c r="AV46" s="189">
        <v>6</v>
      </c>
      <c r="AW46" s="223">
        <f t="shared" si="25"/>
        <v>0</v>
      </c>
      <c r="AX46" s="228">
        <v>4.0999999999999996</v>
      </c>
      <c r="AY46" s="228">
        <v>6</v>
      </c>
      <c r="AZ46" s="177">
        <v>3.1</v>
      </c>
      <c r="BA46" s="177">
        <v>1.33</v>
      </c>
      <c r="BG46" s="182">
        <f t="shared" si="0"/>
        <v>14.857142857142858</v>
      </c>
      <c r="BH46" s="224">
        <f t="shared" si="1"/>
        <v>3.2307692307692308</v>
      </c>
      <c r="BI46" s="182">
        <f t="shared" si="2"/>
        <v>6</v>
      </c>
      <c r="BJ46" s="182">
        <f t="shared" si="3"/>
        <v>6</v>
      </c>
      <c r="BL46" s="182"/>
      <c r="BM46" s="182"/>
      <c r="BN46" s="182"/>
      <c r="BP46" s="225">
        <f t="shared" si="4"/>
        <v>6</v>
      </c>
      <c r="BQ46" s="182">
        <f t="shared" si="5"/>
        <v>14.857142857142858</v>
      </c>
      <c r="BR46" s="173" t="s">
        <v>248</v>
      </c>
      <c r="BS46" s="226">
        <f t="shared" si="20"/>
        <v>5313.5999999999995</v>
      </c>
      <c r="BT46" s="227" t="s">
        <v>335</v>
      </c>
      <c r="BU46" s="227"/>
      <c r="BV46" s="227" t="s">
        <v>335</v>
      </c>
      <c r="BW46" s="227" t="s">
        <v>335</v>
      </c>
      <c r="BX46" s="230" t="s">
        <v>1091</v>
      </c>
      <c r="BY46" s="231" t="s">
        <v>1170</v>
      </c>
      <c r="CA46" s="177" t="s">
        <v>112</v>
      </c>
      <c r="CB46" s="187">
        <v>11060.7</v>
      </c>
      <c r="CC46" s="186">
        <v>33579</v>
      </c>
      <c r="CD46" s="186">
        <v>6</v>
      </c>
      <c r="CE46" s="173">
        <v>24</v>
      </c>
      <c r="CF46" s="173">
        <f t="shared" si="21"/>
        <v>24</v>
      </c>
      <c r="CG46" s="173">
        <f t="shared" si="22"/>
        <v>4</v>
      </c>
      <c r="CK46" s="173">
        <f t="shared" si="23"/>
        <v>0</v>
      </c>
    </row>
    <row r="47" spans="1:89" ht="15" customHeight="1">
      <c r="A47" s="177" t="s">
        <v>82</v>
      </c>
      <c r="B47" s="173" t="s">
        <v>564</v>
      </c>
      <c r="C47" s="175">
        <v>113</v>
      </c>
      <c r="D47" s="173" t="s">
        <v>592</v>
      </c>
      <c r="E47" s="177" t="s">
        <v>172</v>
      </c>
      <c r="F47" s="213">
        <v>0</v>
      </c>
      <c r="G47" s="213">
        <v>0</v>
      </c>
      <c r="H47" s="213" t="s">
        <v>1124</v>
      </c>
      <c r="I47" s="213" t="s">
        <v>1171</v>
      </c>
      <c r="J47" s="213" t="s">
        <v>1031</v>
      </c>
      <c r="K47" s="214" t="s">
        <v>363</v>
      </c>
      <c r="L47" s="213"/>
      <c r="M47" s="213" t="s">
        <v>1172</v>
      </c>
      <c r="N47" s="213" t="s">
        <v>1157</v>
      </c>
      <c r="O47" s="213" t="s">
        <v>1150</v>
      </c>
      <c r="P47" s="177">
        <v>7.375</v>
      </c>
      <c r="Q47" s="177">
        <v>4.875</v>
      </c>
      <c r="R47" s="177">
        <v>3</v>
      </c>
      <c r="S47" s="215">
        <v>730007000320</v>
      </c>
      <c r="T47" s="177">
        <v>0.1</v>
      </c>
      <c r="U47" s="178">
        <v>6.2418619791666664E-2</v>
      </c>
      <c r="V47" s="173" t="s">
        <v>565</v>
      </c>
      <c r="W47" s="217">
        <v>6</v>
      </c>
      <c r="X47" s="177">
        <v>6</v>
      </c>
      <c r="Y47" s="177">
        <v>5.25</v>
      </c>
      <c r="Z47" s="177">
        <v>15.2</v>
      </c>
      <c r="AA47" s="177">
        <v>1.7</v>
      </c>
      <c r="AB47" s="178">
        <v>0.27708333333333329</v>
      </c>
      <c r="AC47" s="177">
        <v>24</v>
      </c>
      <c r="AD47" s="177">
        <v>13</v>
      </c>
      <c r="AE47" s="177">
        <v>16.75</v>
      </c>
      <c r="AF47" s="177">
        <v>10.63</v>
      </c>
      <c r="AG47" s="177">
        <v>8.8000000000000007</v>
      </c>
      <c r="AM47" s="218" t="s">
        <v>987</v>
      </c>
      <c r="AN47" s="177" t="s">
        <v>988</v>
      </c>
      <c r="AO47" s="177" t="s">
        <v>989</v>
      </c>
      <c r="AQ47" s="281">
        <v>1599</v>
      </c>
      <c r="AR47" s="219">
        <v>12792</v>
      </c>
      <c r="AS47" s="220">
        <v>246</v>
      </c>
      <c r="AT47" s="221">
        <v>0.15384615384615385</v>
      </c>
      <c r="AU47" s="222">
        <v>0.88061538461538458</v>
      </c>
      <c r="AV47" s="189">
        <v>4</v>
      </c>
      <c r="AW47" s="223">
        <f t="shared" si="25"/>
        <v>-2</v>
      </c>
      <c r="AX47" s="177">
        <v>6</v>
      </c>
      <c r="AY47" s="177">
        <v>5.25</v>
      </c>
      <c r="AZ47" s="177">
        <f>(15.2/6)*4</f>
        <v>10.133333333333333</v>
      </c>
      <c r="BA47" s="229">
        <f>(1.7/6)*4</f>
        <v>1.1333333333333333</v>
      </c>
      <c r="BB47" s="229"/>
      <c r="BC47" s="229"/>
      <c r="BD47" s="229"/>
      <c r="BE47" s="229"/>
      <c r="BF47" s="229"/>
      <c r="BG47" s="182">
        <f t="shared" si="0"/>
        <v>26</v>
      </c>
      <c r="BH47" s="224">
        <f t="shared" si="1"/>
        <v>1.2307692307692308</v>
      </c>
      <c r="BI47" s="182">
        <f t="shared" si="2"/>
        <v>4</v>
      </c>
      <c r="BJ47" s="182">
        <f t="shared" si="3"/>
        <v>4</v>
      </c>
      <c r="BL47" s="182"/>
      <c r="BM47" s="182"/>
      <c r="BN47" s="182"/>
      <c r="BP47" s="225">
        <f t="shared" si="4"/>
        <v>4</v>
      </c>
      <c r="BQ47" s="182">
        <f t="shared" si="5"/>
        <v>26</v>
      </c>
      <c r="BR47" s="173" t="s">
        <v>204</v>
      </c>
      <c r="BS47" s="226">
        <f t="shared" si="20"/>
        <v>5632.4160000000002</v>
      </c>
      <c r="BT47" s="227" t="s">
        <v>335</v>
      </c>
      <c r="BU47" s="227"/>
      <c r="BV47" s="227" t="s">
        <v>335</v>
      </c>
      <c r="BW47" s="227" t="s">
        <v>335</v>
      </c>
      <c r="BX47" s="189" t="s">
        <v>990</v>
      </c>
      <c r="BY47" s="189"/>
      <c r="CA47" s="177" t="s">
        <v>172</v>
      </c>
      <c r="CB47" s="187">
        <v>7355.4</v>
      </c>
      <c r="CC47" s="186">
        <v>12792</v>
      </c>
      <c r="CD47" s="186">
        <v>4</v>
      </c>
      <c r="CE47" s="173">
        <v>24</v>
      </c>
      <c r="CF47" s="173">
        <f t="shared" si="21"/>
        <v>24</v>
      </c>
      <c r="CG47" s="173">
        <f t="shared" si="22"/>
        <v>6</v>
      </c>
      <c r="CK47" s="173">
        <f t="shared" si="23"/>
        <v>0</v>
      </c>
    </row>
    <row r="48" spans="1:89" ht="15" customHeight="1">
      <c r="A48" s="177" t="s">
        <v>82</v>
      </c>
      <c r="B48" s="173" t="s">
        <v>564</v>
      </c>
      <c r="C48" s="175">
        <v>140</v>
      </c>
      <c r="D48" s="173" t="s">
        <v>593</v>
      </c>
      <c r="E48" s="177" t="s">
        <v>132</v>
      </c>
      <c r="F48" s="213" t="s">
        <v>1093</v>
      </c>
      <c r="G48" s="213" t="s">
        <v>1094</v>
      </c>
      <c r="H48" s="213" t="s">
        <v>73</v>
      </c>
      <c r="I48" s="213" t="s">
        <v>1173</v>
      </c>
      <c r="J48" s="213" t="s">
        <v>1031</v>
      </c>
      <c r="K48" s="214" t="s">
        <v>88</v>
      </c>
      <c r="L48" s="213" t="s">
        <v>1174</v>
      </c>
      <c r="M48" s="213" t="s">
        <v>1175</v>
      </c>
      <c r="N48" s="213"/>
      <c r="O48" s="213"/>
      <c r="P48" s="177">
        <v>5.7</v>
      </c>
      <c r="Q48" s="177">
        <v>3.65</v>
      </c>
      <c r="R48" s="177">
        <v>1.75</v>
      </c>
      <c r="S48" s="215" t="s">
        <v>844</v>
      </c>
      <c r="T48" s="177">
        <v>0.28000000000000003</v>
      </c>
      <c r="U48" s="178">
        <v>2.106987847222222E-2</v>
      </c>
      <c r="V48" s="173" t="s">
        <v>565</v>
      </c>
      <c r="W48" s="217">
        <v>4</v>
      </c>
      <c r="X48" s="177">
        <v>6.75</v>
      </c>
      <c r="Y48" s="177">
        <v>6</v>
      </c>
      <c r="Z48" s="177">
        <v>4.0999999999999996</v>
      </c>
      <c r="AA48" s="177">
        <v>1.1299999999999999</v>
      </c>
      <c r="AB48" s="178">
        <v>9.6093749999999992E-2</v>
      </c>
      <c r="AC48" s="177">
        <v>16</v>
      </c>
      <c r="AD48" s="177">
        <v>7.25</v>
      </c>
      <c r="AE48" s="177">
        <v>13</v>
      </c>
      <c r="AF48" s="177">
        <v>9.1999999999999993</v>
      </c>
      <c r="AG48" s="177">
        <v>6.52</v>
      </c>
      <c r="AM48" s="218" t="s">
        <v>987</v>
      </c>
      <c r="AN48" s="177" t="s">
        <v>988</v>
      </c>
      <c r="AO48" s="177" t="s">
        <v>989</v>
      </c>
      <c r="AQ48" s="281">
        <v>1715</v>
      </c>
      <c r="AR48" s="219">
        <v>20580</v>
      </c>
      <c r="AS48" s="220">
        <v>395.76923076923077</v>
      </c>
      <c r="AT48" s="221">
        <v>0.23076923076923078</v>
      </c>
      <c r="AU48" s="222">
        <v>1.1692307692307693</v>
      </c>
      <c r="AV48" s="189">
        <v>4</v>
      </c>
      <c r="AW48" s="223">
        <f t="shared" si="25"/>
        <v>0</v>
      </c>
      <c r="AX48" s="228">
        <v>6.75</v>
      </c>
      <c r="AY48" s="177">
        <v>6</v>
      </c>
      <c r="AZ48" s="177">
        <v>4.0999999999999996</v>
      </c>
      <c r="BA48" s="177">
        <v>1.1299999999999999</v>
      </c>
      <c r="BG48" s="182">
        <f t="shared" si="0"/>
        <v>17.333333333333332</v>
      </c>
      <c r="BH48" s="224">
        <f t="shared" si="1"/>
        <v>1.8461538461538463</v>
      </c>
      <c r="BI48" s="182">
        <f t="shared" si="2"/>
        <v>4</v>
      </c>
      <c r="BJ48" s="182">
        <f t="shared" si="3"/>
        <v>4</v>
      </c>
      <c r="BL48" s="182"/>
      <c r="BM48" s="182"/>
      <c r="BN48" s="182"/>
      <c r="BP48" s="225">
        <f t="shared" si="4"/>
        <v>4</v>
      </c>
      <c r="BQ48" s="182">
        <f t="shared" si="5"/>
        <v>17.333333333333332</v>
      </c>
      <c r="BR48" s="173" t="s">
        <v>204</v>
      </c>
      <c r="BS48" s="226">
        <f t="shared" si="20"/>
        <v>8020.9230769230771</v>
      </c>
      <c r="BT48" s="227" t="s">
        <v>335</v>
      </c>
      <c r="BU48" s="227" t="s">
        <v>335</v>
      </c>
      <c r="BV48" s="227" t="s">
        <v>335</v>
      </c>
      <c r="BW48" s="227" t="s">
        <v>335</v>
      </c>
      <c r="BX48" s="230" t="s">
        <v>1091</v>
      </c>
      <c r="BY48" s="231" t="s">
        <v>1092</v>
      </c>
      <c r="BZ48" s="248" t="s">
        <v>1176</v>
      </c>
      <c r="CA48" s="177" t="s">
        <v>132</v>
      </c>
      <c r="CB48" s="187">
        <v>7889</v>
      </c>
      <c r="CC48" s="186">
        <v>20580</v>
      </c>
      <c r="CD48" s="186">
        <v>4</v>
      </c>
      <c r="CE48" s="173">
        <v>16</v>
      </c>
      <c r="CF48" s="173">
        <f t="shared" si="21"/>
        <v>16</v>
      </c>
      <c r="CG48" s="173">
        <f t="shared" si="22"/>
        <v>4</v>
      </c>
      <c r="CK48" s="173">
        <f t="shared" si="23"/>
        <v>0</v>
      </c>
    </row>
    <row r="49" spans="1:89" ht="15" customHeight="1">
      <c r="A49" s="177" t="s">
        <v>82</v>
      </c>
      <c r="B49" s="173" t="s">
        <v>564</v>
      </c>
      <c r="C49" s="175">
        <v>101</v>
      </c>
      <c r="D49" s="173" t="s">
        <v>216</v>
      </c>
      <c r="E49" s="177" t="s">
        <v>83</v>
      </c>
      <c r="F49" s="213" t="s">
        <v>1143</v>
      </c>
      <c r="G49" s="213" t="s">
        <v>1144</v>
      </c>
      <c r="H49" s="213" t="s">
        <v>73</v>
      </c>
      <c r="I49" s="213" t="s">
        <v>1177</v>
      </c>
      <c r="J49" s="213" t="s">
        <v>1031</v>
      </c>
      <c r="K49" s="214" t="s">
        <v>88</v>
      </c>
      <c r="L49" s="213" t="s">
        <v>1178</v>
      </c>
      <c r="M49" s="213" t="s">
        <v>1179</v>
      </c>
      <c r="N49" s="213"/>
      <c r="O49" s="213"/>
      <c r="P49" s="177">
        <v>5.7</v>
      </c>
      <c r="Q49" s="177">
        <v>3.65</v>
      </c>
      <c r="R49" s="177">
        <v>2</v>
      </c>
      <c r="S49" s="215" t="s">
        <v>1180</v>
      </c>
      <c r="T49" s="177">
        <v>0.1</v>
      </c>
      <c r="U49" s="178">
        <v>2.4079861111111111E-2</v>
      </c>
      <c r="V49" s="173" t="s">
        <v>565</v>
      </c>
      <c r="W49" s="217">
        <v>6</v>
      </c>
      <c r="X49" s="177">
        <v>6</v>
      </c>
      <c r="Y49" s="177">
        <v>6.5</v>
      </c>
      <c r="Z49" s="177">
        <v>4.0999999999999996</v>
      </c>
      <c r="AA49" s="177">
        <v>0.8</v>
      </c>
      <c r="AB49" s="178">
        <v>9.2534722222222213E-2</v>
      </c>
      <c r="AC49" s="177">
        <v>24</v>
      </c>
      <c r="AD49" s="177">
        <v>6.5</v>
      </c>
      <c r="AE49" s="177">
        <v>8.5</v>
      </c>
      <c r="AF49" s="177">
        <v>13.299999999999999</v>
      </c>
      <c r="AG49" s="177">
        <v>5.3000000000000007</v>
      </c>
      <c r="AM49" s="218" t="s">
        <v>987</v>
      </c>
      <c r="AN49" s="177" t="s">
        <v>988</v>
      </c>
      <c r="AO49" s="177" t="s">
        <v>989</v>
      </c>
      <c r="AQ49" s="281">
        <v>1599</v>
      </c>
      <c r="AR49" s="219">
        <v>28782</v>
      </c>
      <c r="AS49" s="220">
        <v>553.5</v>
      </c>
      <c r="AT49" s="221">
        <v>0.34615384615384615</v>
      </c>
      <c r="AU49" s="222">
        <v>0.83076923076923082</v>
      </c>
      <c r="AV49" s="189">
        <v>8</v>
      </c>
      <c r="AW49" s="223">
        <f t="shared" si="25"/>
        <v>2</v>
      </c>
      <c r="AX49" s="177">
        <v>6</v>
      </c>
      <c r="AY49" s="229">
        <v>8</v>
      </c>
      <c r="AZ49" s="177">
        <v>4.0999999999999996</v>
      </c>
      <c r="BA49" s="229">
        <v>1.1000000000000001</v>
      </c>
      <c r="BB49" s="229"/>
      <c r="BC49" s="229"/>
      <c r="BD49" s="229"/>
      <c r="BE49" s="229"/>
      <c r="BF49" s="229"/>
      <c r="BG49" s="182">
        <f t="shared" si="0"/>
        <v>23.111111111111111</v>
      </c>
      <c r="BH49" s="224">
        <f t="shared" si="1"/>
        <v>2.7692307692307692</v>
      </c>
      <c r="BI49" s="182">
        <f t="shared" si="2"/>
        <v>8</v>
      </c>
      <c r="BJ49" s="182">
        <f t="shared" si="3"/>
        <v>8</v>
      </c>
      <c r="BL49" s="182"/>
      <c r="BM49" s="182"/>
      <c r="BN49" s="182"/>
      <c r="BP49" s="225">
        <f t="shared" si="4"/>
        <v>8</v>
      </c>
      <c r="BQ49" s="182">
        <f t="shared" si="5"/>
        <v>23.111111111111111</v>
      </c>
      <c r="BR49" s="173" t="s">
        <v>217</v>
      </c>
      <c r="BS49" s="226">
        <f t="shared" si="20"/>
        <v>10627.2</v>
      </c>
      <c r="BT49" s="227" t="s">
        <v>335</v>
      </c>
      <c r="BU49" s="227"/>
      <c r="BV49" s="227" t="s">
        <v>335</v>
      </c>
      <c r="BW49" s="227" t="s">
        <v>335</v>
      </c>
      <c r="BX49" s="230" t="s">
        <v>1181</v>
      </c>
      <c r="BY49" s="189" t="s">
        <v>1182</v>
      </c>
      <c r="CA49" s="177" t="s">
        <v>83</v>
      </c>
      <c r="CB49" s="187">
        <v>14710.8</v>
      </c>
      <c r="CC49" s="186">
        <v>28782</v>
      </c>
      <c r="CD49" s="186">
        <v>8</v>
      </c>
      <c r="CE49" s="173">
        <v>24</v>
      </c>
      <c r="CF49" s="173">
        <f t="shared" si="21"/>
        <v>24</v>
      </c>
      <c r="CG49" s="173">
        <f t="shared" si="22"/>
        <v>3</v>
      </c>
      <c r="CK49" s="173">
        <f t="shared" si="23"/>
        <v>0</v>
      </c>
    </row>
    <row r="50" spans="1:89" ht="15" customHeight="1">
      <c r="A50" s="177" t="s">
        <v>82</v>
      </c>
      <c r="B50" s="173" t="s">
        <v>564</v>
      </c>
      <c r="C50" s="175">
        <v>89</v>
      </c>
      <c r="D50" s="173" t="s">
        <v>290</v>
      </c>
      <c r="E50" s="177" t="s">
        <v>114</v>
      </c>
      <c r="F50" s="213" t="s">
        <v>1129</v>
      </c>
      <c r="G50" s="213" t="s">
        <v>1130</v>
      </c>
      <c r="H50" s="213" t="s">
        <v>73</v>
      </c>
      <c r="I50" s="213" t="s">
        <v>1183</v>
      </c>
      <c r="J50" s="213" t="s">
        <v>1132</v>
      </c>
      <c r="K50" s="214" t="s">
        <v>88</v>
      </c>
      <c r="L50" s="213" t="s">
        <v>1184</v>
      </c>
      <c r="M50" s="213" t="s">
        <v>1185</v>
      </c>
      <c r="N50" s="213"/>
      <c r="O50" s="213"/>
      <c r="P50" s="177">
        <v>5.7</v>
      </c>
      <c r="Q50" s="177">
        <v>3.65</v>
      </c>
      <c r="R50" s="177">
        <v>0.75</v>
      </c>
      <c r="S50" s="215" t="s">
        <v>835</v>
      </c>
      <c r="T50" s="177">
        <v>0.1</v>
      </c>
      <c r="U50" s="178">
        <v>9.0299479166666662E-3</v>
      </c>
      <c r="V50" s="173" t="s">
        <v>565</v>
      </c>
      <c r="W50" s="217">
        <v>6</v>
      </c>
      <c r="X50" s="177">
        <v>4.25</v>
      </c>
      <c r="Y50" s="177">
        <v>6.1</v>
      </c>
      <c r="Z50" s="177">
        <v>3.25</v>
      </c>
      <c r="AA50" s="177">
        <v>0.63</v>
      </c>
      <c r="AB50" s="178">
        <v>4.8759403935185179E-2</v>
      </c>
      <c r="AC50" s="177">
        <v>24</v>
      </c>
      <c r="AD50" s="177">
        <v>5.5</v>
      </c>
      <c r="AE50" s="177">
        <v>7.5</v>
      </c>
      <c r="AF50" s="177">
        <v>13</v>
      </c>
      <c r="AG50" s="177">
        <v>5</v>
      </c>
      <c r="AM50" s="218" t="s">
        <v>987</v>
      </c>
      <c r="AN50" s="177" t="s">
        <v>988</v>
      </c>
      <c r="AO50" s="177" t="s">
        <v>989</v>
      </c>
      <c r="AQ50" s="281">
        <v>1599</v>
      </c>
      <c r="AR50" s="219">
        <v>33579</v>
      </c>
      <c r="AS50" s="220">
        <v>645.75</v>
      </c>
      <c r="AT50" s="221">
        <v>0.40384615384615385</v>
      </c>
      <c r="AU50" s="222">
        <v>0.49230769230769228</v>
      </c>
      <c r="AV50" s="189">
        <v>10</v>
      </c>
      <c r="AW50" s="223">
        <f t="shared" si="25"/>
        <v>4</v>
      </c>
      <c r="AX50" s="229">
        <v>5</v>
      </c>
      <c r="AY50" s="229">
        <v>7</v>
      </c>
      <c r="AZ50" s="229">
        <v>4</v>
      </c>
      <c r="BA50" s="229">
        <v>1</v>
      </c>
      <c r="BB50" s="229"/>
      <c r="BC50" s="229"/>
      <c r="BD50" s="229"/>
      <c r="BE50" s="229"/>
      <c r="BF50" s="229"/>
      <c r="BG50" s="182">
        <f t="shared" si="0"/>
        <v>24.761904761904763</v>
      </c>
      <c r="BH50" s="224">
        <f t="shared" si="1"/>
        <v>3.2307692307692308</v>
      </c>
      <c r="BI50" s="182">
        <f t="shared" si="2"/>
        <v>10</v>
      </c>
      <c r="BJ50" s="182">
        <f t="shared" si="3"/>
        <v>10</v>
      </c>
      <c r="BL50" s="182"/>
      <c r="BM50" s="182"/>
      <c r="BN50" s="182"/>
      <c r="BP50" s="225">
        <f t="shared" si="4"/>
        <v>10</v>
      </c>
      <c r="BQ50" s="182">
        <f t="shared" si="5"/>
        <v>24.761904761904763</v>
      </c>
      <c r="BR50" s="173" t="s">
        <v>248</v>
      </c>
      <c r="BS50" s="226">
        <f t="shared" si="20"/>
        <v>7871.9999999999991</v>
      </c>
      <c r="BT50" s="227" t="s">
        <v>335</v>
      </c>
      <c r="BU50" s="227"/>
      <c r="BV50" s="227" t="s">
        <v>335</v>
      </c>
      <c r="BW50" s="227" t="s">
        <v>335</v>
      </c>
      <c r="BX50" s="230" t="s">
        <v>1181</v>
      </c>
      <c r="BY50" s="189" t="s">
        <v>1186</v>
      </c>
      <c r="CA50" s="177" t="s">
        <v>114</v>
      </c>
      <c r="CB50" s="187">
        <v>18434.5</v>
      </c>
      <c r="CC50" s="186">
        <v>33579</v>
      </c>
      <c r="CD50" s="186">
        <v>10</v>
      </c>
      <c r="CE50" s="173">
        <v>24</v>
      </c>
      <c r="CF50" s="173">
        <v>30</v>
      </c>
      <c r="CG50" s="173">
        <f t="shared" si="22"/>
        <v>2.4</v>
      </c>
      <c r="CK50" s="173">
        <f t="shared" si="23"/>
        <v>0</v>
      </c>
    </row>
    <row r="51" spans="1:89" ht="15" customHeight="1">
      <c r="A51" s="177" t="s">
        <v>82</v>
      </c>
      <c r="B51" s="173" t="s">
        <v>564</v>
      </c>
      <c r="C51" s="175">
        <v>117</v>
      </c>
      <c r="D51" s="173" t="s">
        <v>373</v>
      </c>
      <c r="E51" s="177" t="s">
        <v>142</v>
      </c>
      <c r="F51" s="213" t="s">
        <v>1056</v>
      </c>
      <c r="G51" s="213" t="s">
        <v>1057</v>
      </c>
      <c r="H51" s="213" t="s">
        <v>73</v>
      </c>
      <c r="I51" s="213" t="s">
        <v>1187</v>
      </c>
      <c r="J51" s="213" t="s">
        <v>1031</v>
      </c>
      <c r="K51" s="214" t="s">
        <v>88</v>
      </c>
      <c r="L51" s="213" t="s">
        <v>1188</v>
      </c>
      <c r="M51" s="213" t="s">
        <v>1189</v>
      </c>
      <c r="N51" s="213"/>
      <c r="O51" s="213"/>
      <c r="P51" s="177">
        <v>5.7</v>
      </c>
      <c r="Q51" s="177">
        <v>3.65</v>
      </c>
      <c r="R51" s="177">
        <v>3.5</v>
      </c>
      <c r="S51" s="215">
        <v>730007000481</v>
      </c>
      <c r="T51" s="177">
        <v>0.17</v>
      </c>
      <c r="U51" s="178">
        <v>4.213975694444444E-2</v>
      </c>
      <c r="V51" s="173" t="s">
        <v>565</v>
      </c>
      <c r="W51" s="217">
        <v>6</v>
      </c>
      <c r="X51" s="177">
        <v>10.5</v>
      </c>
      <c r="Y51" s="177">
        <v>4</v>
      </c>
      <c r="Z51" s="177">
        <v>6</v>
      </c>
      <c r="AA51" s="177">
        <v>1.04</v>
      </c>
      <c r="AB51" s="178">
        <v>0.14583333333333334</v>
      </c>
      <c r="AC51" s="177">
        <v>24</v>
      </c>
      <c r="AD51" s="177">
        <v>11</v>
      </c>
      <c r="AE51" s="177">
        <v>9</v>
      </c>
      <c r="AF51" s="177">
        <v>13</v>
      </c>
      <c r="AG51" s="177">
        <v>6.16</v>
      </c>
      <c r="AM51" s="218" t="s">
        <v>987</v>
      </c>
      <c r="AN51" s="177" t="s">
        <v>988</v>
      </c>
      <c r="AO51" s="177" t="s">
        <v>989</v>
      </c>
      <c r="AQ51" s="281">
        <v>1599</v>
      </c>
      <c r="AR51" s="219">
        <v>19188</v>
      </c>
      <c r="AS51" s="220">
        <v>369</v>
      </c>
      <c r="AT51" s="221">
        <v>0.23076923076923078</v>
      </c>
      <c r="AU51" s="222">
        <v>0.7886153846153845</v>
      </c>
      <c r="AV51" s="189">
        <v>6</v>
      </c>
      <c r="AW51" s="223">
        <f t="shared" si="25"/>
        <v>0</v>
      </c>
      <c r="AX51" s="177">
        <v>10.5</v>
      </c>
      <c r="AY51" s="177">
        <v>4</v>
      </c>
      <c r="AZ51" s="177">
        <v>6</v>
      </c>
      <c r="BA51" s="177">
        <v>1.04</v>
      </c>
      <c r="BG51" s="182">
        <f t="shared" si="0"/>
        <v>26</v>
      </c>
      <c r="BH51" s="224">
        <f t="shared" si="1"/>
        <v>1.8461538461538463</v>
      </c>
      <c r="BI51" s="182">
        <f t="shared" si="2"/>
        <v>6</v>
      </c>
      <c r="BJ51" s="182">
        <f t="shared" si="3"/>
        <v>6</v>
      </c>
      <c r="BL51" s="182"/>
      <c r="BM51" s="182"/>
      <c r="BN51" s="182"/>
      <c r="BP51" s="225">
        <f t="shared" si="4"/>
        <v>6</v>
      </c>
      <c r="BQ51" s="182">
        <f t="shared" si="5"/>
        <v>26</v>
      </c>
      <c r="BR51" s="173" t="s">
        <v>204</v>
      </c>
      <c r="BS51" s="226">
        <f t="shared" si="20"/>
        <v>7565.9759999999987</v>
      </c>
      <c r="BT51" s="227" t="s">
        <v>335</v>
      </c>
      <c r="BU51" s="227"/>
      <c r="BV51" s="227" t="s">
        <v>335</v>
      </c>
      <c r="BW51" s="227" t="s">
        <v>335</v>
      </c>
      <c r="BX51" s="189" t="s">
        <v>1014</v>
      </c>
      <c r="BY51" s="189"/>
      <c r="CA51" s="177" t="s">
        <v>142</v>
      </c>
      <c r="CB51" s="187">
        <v>11033.1</v>
      </c>
      <c r="CC51" s="186">
        <v>19188</v>
      </c>
      <c r="CD51" s="186">
        <v>6</v>
      </c>
      <c r="CE51" s="173">
        <v>24</v>
      </c>
      <c r="CF51" s="173">
        <f t="shared" si="21"/>
        <v>24</v>
      </c>
      <c r="CG51" s="173">
        <f t="shared" si="22"/>
        <v>4</v>
      </c>
      <c r="CK51" s="173">
        <f t="shared" si="23"/>
        <v>0</v>
      </c>
    </row>
    <row r="52" spans="1:89" ht="15" customHeight="1">
      <c r="A52" s="177" t="s">
        <v>82</v>
      </c>
      <c r="B52" s="173" t="s">
        <v>564</v>
      </c>
      <c r="C52" s="175">
        <v>103</v>
      </c>
      <c r="D52" s="173" t="s">
        <v>494</v>
      </c>
      <c r="E52" s="177" t="s">
        <v>177</v>
      </c>
      <c r="F52" s="213" t="s">
        <v>1143</v>
      </c>
      <c r="G52" s="213" t="s">
        <v>1144</v>
      </c>
      <c r="H52" s="213" t="s">
        <v>73</v>
      </c>
      <c r="I52" s="213" t="s">
        <v>1177</v>
      </c>
      <c r="J52" s="213" t="s">
        <v>1031</v>
      </c>
      <c r="K52" s="214" t="s">
        <v>88</v>
      </c>
      <c r="L52" s="213" t="s">
        <v>1190</v>
      </c>
      <c r="M52" s="213" t="s">
        <v>1191</v>
      </c>
      <c r="N52" s="213"/>
      <c r="O52" s="213"/>
      <c r="P52" s="177">
        <v>5.7</v>
      </c>
      <c r="Q52" s="177">
        <v>3.65</v>
      </c>
      <c r="R52" s="177">
        <v>3.75</v>
      </c>
      <c r="S52" s="215" t="s">
        <v>1192</v>
      </c>
      <c r="T52" s="177">
        <v>0.13</v>
      </c>
      <c r="U52" s="178">
        <v>4.5149739583333334E-2</v>
      </c>
      <c r="V52" s="173" t="s">
        <v>565</v>
      </c>
      <c r="W52" s="217">
        <v>6</v>
      </c>
      <c r="X52" s="177">
        <v>6</v>
      </c>
      <c r="Y52" s="177">
        <v>6.5</v>
      </c>
      <c r="Z52" s="177">
        <v>4.0999999999999996</v>
      </c>
      <c r="AA52" s="177">
        <v>0.8</v>
      </c>
      <c r="AB52" s="178">
        <v>9.2534722222222213E-2</v>
      </c>
      <c r="AC52" s="177">
        <v>24</v>
      </c>
      <c r="AD52" s="177">
        <v>6.5</v>
      </c>
      <c r="AE52" s="177">
        <v>8.5</v>
      </c>
      <c r="AF52" s="177">
        <v>13.299999999999999</v>
      </c>
      <c r="AG52" s="177">
        <v>5.3000000000000007</v>
      </c>
      <c r="AM52" s="218" t="s">
        <v>987</v>
      </c>
      <c r="AN52" s="177" t="s">
        <v>988</v>
      </c>
      <c r="AO52" s="177" t="s">
        <v>989</v>
      </c>
      <c r="AQ52" s="281">
        <v>1599</v>
      </c>
      <c r="AR52" s="219">
        <v>12792</v>
      </c>
      <c r="AS52" s="220">
        <v>246</v>
      </c>
      <c r="AT52" s="221">
        <v>0.15384615384615385</v>
      </c>
      <c r="AU52" s="222">
        <v>0.83076923076923082</v>
      </c>
      <c r="AV52" s="189">
        <v>8</v>
      </c>
      <c r="AW52" s="223">
        <f t="shared" si="25"/>
        <v>2</v>
      </c>
      <c r="AX52" s="229">
        <v>6</v>
      </c>
      <c r="AY52" s="229">
        <v>8</v>
      </c>
      <c r="AZ52" s="229">
        <v>4.0999999999999996</v>
      </c>
      <c r="BA52" s="229">
        <v>1.1000000000000001</v>
      </c>
      <c r="BB52" s="229"/>
      <c r="BC52" s="229"/>
      <c r="BD52" s="229"/>
      <c r="BE52" s="229"/>
      <c r="BF52" s="229"/>
      <c r="BG52" s="182">
        <f t="shared" si="0"/>
        <v>52</v>
      </c>
      <c r="BH52" s="224">
        <f t="shared" si="1"/>
        <v>1.2307692307692308</v>
      </c>
      <c r="BI52" s="182">
        <f t="shared" si="2"/>
        <v>8</v>
      </c>
      <c r="BJ52" s="182">
        <f t="shared" si="3"/>
        <v>8</v>
      </c>
      <c r="BL52" s="182"/>
      <c r="BM52" s="182"/>
      <c r="BN52" s="182"/>
      <c r="BP52" s="225">
        <f t="shared" si="4"/>
        <v>8</v>
      </c>
      <c r="BQ52" s="182">
        <f t="shared" si="5"/>
        <v>52</v>
      </c>
      <c r="BR52" s="173" t="s">
        <v>217</v>
      </c>
      <c r="BS52" s="226">
        <f t="shared" si="20"/>
        <v>10627.2</v>
      </c>
      <c r="BT52" s="227" t="s">
        <v>335</v>
      </c>
      <c r="BU52" s="227"/>
      <c r="BV52" s="227" t="s">
        <v>335</v>
      </c>
      <c r="BW52" s="227" t="s">
        <v>335</v>
      </c>
      <c r="BX52" s="230" t="s">
        <v>1181</v>
      </c>
      <c r="BY52" s="189" t="s">
        <v>1182</v>
      </c>
      <c r="CA52" s="177" t="s">
        <v>177</v>
      </c>
      <c r="CB52" s="187">
        <v>14710.8</v>
      </c>
      <c r="CC52" s="186">
        <v>12792</v>
      </c>
      <c r="CD52" s="186">
        <v>8</v>
      </c>
      <c r="CE52" s="173">
        <v>24</v>
      </c>
      <c r="CF52" s="173">
        <f t="shared" si="21"/>
        <v>24</v>
      </c>
      <c r="CG52" s="173">
        <f t="shared" si="22"/>
        <v>3</v>
      </c>
      <c r="CK52" s="173">
        <f t="shared" si="23"/>
        <v>0</v>
      </c>
    </row>
    <row r="53" spans="1:89" ht="15" customHeight="1">
      <c r="A53" s="177" t="s">
        <v>82</v>
      </c>
      <c r="B53" s="173" t="s">
        <v>564</v>
      </c>
      <c r="C53" s="175">
        <v>136</v>
      </c>
      <c r="D53" s="173" t="s">
        <v>594</v>
      </c>
      <c r="E53" s="177" t="s">
        <v>157</v>
      </c>
      <c r="F53" s="213" t="s">
        <v>1193</v>
      </c>
      <c r="G53" s="213" t="s">
        <v>1194</v>
      </c>
      <c r="H53" s="213" t="s">
        <v>122</v>
      </c>
      <c r="I53" s="213" t="s">
        <v>1195</v>
      </c>
      <c r="J53" s="213" t="s">
        <v>1019</v>
      </c>
      <c r="K53" s="214" t="s">
        <v>214</v>
      </c>
      <c r="L53" s="213" t="s">
        <v>1196</v>
      </c>
      <c r="M53" s="213" t="s">
        <v>1197</v>
      </c>
      <c r="N53" s="213"/>
      <c r="O53" s="213"/>
      <c r="P53" s="177">
        <v>5.7</v>
      </c>
      <c r="Q53" s="177">
        <v>3.65</v>
      </c>
      <c r="R53" s="177">
        <v>1.5</v>
      </c>
      <c r="S53" s="215" t="s">
        <v>865</v>
      </c>
      <c r="T53" s="177">
        <v>0.04</v>
      </c>
      <c r="U53" s="178">
        <v>1.8059895833333332E-2</v>
      </c>
      <c r="V53" s="173" t="s">
        <v>565</v>
      </c>
      <c r="W53" s="217">
        <v>6</v>
      </c>
      <c r="X53" s="177">
        <v>6.75</v>
      </c>
      <c r="Y53" s="177">
        <v>6</v>
      </c>
      <c r="Z53" s="177">
        <v>4.0999999999999996</v>
      </c>
      <c r="AA53" s="177">
        <v>1</v>
      </c>
      <c r="AB53" s="178">
        <v>9.6093749999999992E-2</v>
      </c>
      <c r="AC53" s="177">
        <v>24</v>
      </c>
      <c r="AD53" s="177">
        <v>7.25</v>
      </c>
      <c r="AE53" s="177">
        <v>13</v>
      </c>
      <c r="AF53" s="177">
        <v>9.1999999999999993</v>
      </c>
      <c r="AG53" s="177">
        <v>6</v>
      </c>
      <c r="AM53" s="218" t="s">
        <v>987</v>
      </c>
      <c r="AN53" s="177" t="s">
        <v>988</v>
      </c>
      <c r="AO53" s="177" t="s">
        <v>989</v>
      </c>
      <c r="AQ53" s="281">
        <v>1715</v>
      </c>
      <c r="AR53" s="219">
        <v>12005</v>
      </c>
      <c r="AS53" s="220">
        <v>230.86538461538461</v>
      </c>
      <c r="AT53" s="221">
        <v>0.13461538461538461</v>
      </c>
      <c r="AU53" s="222">
        <v>0.78153846153846152</v>
      </c>
      <c r="AV53" s="189">
        <v>6</v>
      </c>
      <c r="AW53" s="223">
        <f t="shared" si="25"/>
        <v>0</v>
      </c>
      <c r="AX53" s="228">
        <v>6.75</v>
      </c>
      <c r="AY53" s="177">
        <v>6</v>
      </c>
      <c r="AZ53" s="177">
        <v>4.0999999999999996</v>
      </c>
      <c r="BA53" s="177">
        <v>1</v>
      </c>
      <c r="BG53" s="182">
        <f t="shared" si="0"/>
        <v>44.571428571428577</v>
      </c>
      <c r="BH53" s="224">
        <f t="shared" si="1"/>
        <v>1.0769230769230769</v>
      </c>
      <c r="BI53" s="182">
        <f t="shared" si="2"/>
        <v>6</v>
      </c>
      <c r="BJ53" s="182">
        <f t="shared" si="3"/>
        <v>6</v>
      </c>
      <c r="BL53" s="182"/>
      <c r="BM53" s="182"/>
      <c r="BN53" s="182"/>
      <c r="BP53" s="225">
        <f t="shared" si="4"/>
        <v>6</v>
      </c>
      <c r="BQ53" s="182">
        <f t="shared" si="5"/>
        <v>44.571428571428577</v>
      </c>
      <c r="BR53" s="173" t="s">
        <v>204</v>
      </c>
      <c r="BS53" s="226">
        <f t="shared" si="20"/>
        <v>8042.0307692307688</v>
      </c>
      <c r="BT53" s="227" t="s">
        <v>335</v>
      </c>
      <c r="BU53" s="227" t="s">
        <v>335</v>
      </c>
      <c r="BV53" s="227" t="s">
        <v>335</v>
      </c>
      <c r="BW53" s="227" t="s">
        <v>335</v>
      </c>
      <c r="BX53" s="230" t="s">
        <v>1091</v>
      </c>
      <c r="BY53" s="231" t="s">
        <v>1092</v>
      </c>
      <c r="CA53" s="177" t="s">
        <v>157</v>
      </c>
      <c r="CB53" s="187">
        <v>11833.5</v>
      </c>
      <c r="CC53" s="186">
        <v>12005</v>
      </c>
      <c r="CD53" s="186">
        <v>6</v>
      </c>
      <c r="CE53" s="173">
        <v>24</v>
      </c>
      <c r="CF53" s="173">
        <f t="shared" si="21"/>
        <v>24</v>
      </c>
      <c r="CG53" s="173">
        <f t="shared" si="22"/>
        <v>4</v>
      </c>
      <c r="CK53" s="173">
        <f t="shared" si="23"/>
        <v>0</v>
      </c>
    </row>
    <row r="54" spans="1:89" ht="15" customHeight="1">
      <c r="A54" s="177" t="s">
        <v>82</v>
      </c>
      <c r="B54" s="173" t="s">
        <v>564</v>
      </c>
      <c r="C54" s="175">
        <v>90</v>
      </c>
      <c r="D54" s="173" t="s">
        <v>299</v>
      </c>
      <c r="E54" s="177" t="s">
        <v>116</v>
      </c>
      <c r="F54" s="213" t="s">
        <v>1198</v>
      </c>
      <c r="G54" s="213" t="s">
        <v>1199</v>
      </c>
      <c r="H54" s="213" t="s">
        <v>73</v>
      </c>
      <c r="I54" s="213" t="s">
        <v>1200</v>
      </c>
      <c r="J54" s="213" t="s">
        <v>1201</v>
      </c>
      <c r="K54" s="214" t="s">
        <v>88</v>
      </c>
      <c r="L54" s="213" t="s">
        <v>1202</v>
      </c>
      <c r="M54" s="213" t="s">
        <v>1203</v>
      </c>
      <c r="N54" s="213"/>
      <c r="O54" s="213"/>
      <c r="P54" s="177">
        <v>5.7</v>
      </c>
      <c r="Q54" s="177">
        <v>3.65</v>
      </c>
      <c r="R54" s="177">
        <v>1</v>
      </c>
      <c r="S54" s="215" t="s">
        <v>1204</v>
      </c>
      <c r="T54" s="177">
        <v>0.1</v>
      </c>
      <c r="U54" s="178">
        <v>1.2039930555555555E-2</v>
      </c>
      <c r="V54" s="173" t="s">
        <v>565</v>
      </c>
      <c r="W54" s="217">
        <v>6</v>
      </c>
      <c r="X54" s="177">
        <v>6.75</v>
      </c>
      <c r="Y54" s="177">
        <v>6</v>
      </c>
      <c r="Z54" s="177">
        <v>4.0999999999999996</v>
      </c>
      <c r="AA54" s="177">
        <v>0.63</v>
      </c>
      <c r="AB54" s="178">
        <v>9.6093749999999992E-2</v>
      </c>
      <c r="AC54" s="177">
        <v>24</v>
      </c>
      <c r="AD54" s="177">
        <v>7.25</v>
      </c>
      <c r="AE54" s="177">
        <v>8.5</v>
      </c>
      <c r="AF54" s="177">
        <v>13.299999999999999</v>
      </c>
      <c r="AG54" s="177">
        <v>5</v>
      </c>
      <c r="AM54" s="218" t="s">
        <v>987</v>
      </c>
      <c r="AN54" s="177" t="s">
        <v>988</v>
      </c>
      <c r="AO54" s="177" t="s">
        <v>989</v>
      </c>
      <c r="AQ54" s="281">
        <v>1599</v>
      </c>
      <c r="AR54" s="219">
        <v>7995</v>
      </c>
      <c r="AS54" s="220">
        <v>153.75</v>
      </c>
      <c r="AT54" s="221">
        <v>9.6153846153846159E-2</v>
      </c>
      <c r="AU54" s="222">
        <v>0.86615384615384605</v>
      </c>
      <c r="AV54" s="189">
        <v>10</v>
      </c>
      <c r="AW54" s="223">
        <f t="shared" si="25"/>
        <v>4</v>
      </c>
      <c r="AX54" s="229">
        <v>6.75</v>
      </c>
      <c r="AY54" s="229">
        <v>8</v>
      </c>
      <c r="AZ54" s="229">
        <v>4.0999999999999996</v>
      </c>
      <c r="BA54" s="229">
        <v>1</v>
      </c>
      <c r="BB54" s="229"/>
      <c r="BC54" s="229"/>
      <c r="BD54" s="229"/>
      <c r="BE54" s="229"/>
      <c r="BF54" s="229"/>
      <c r="BG54" s="182">
        <f t="shared" si="0"/>
        <v>104</v>
      </c>
      <c r="BH54" s="224">
        <f t="shared" si="1"/>
        <v>0.76923076923076927</v>
      </c>
      <c r="BI54" s="182">
        <f t="shared" si="2"/>
        <v>10</v>
      </c>
      <c r="BJ54" s="182">
        <f t="shared" si="3"/>
        <v>10</v>
      </c>
      <c r="BL54" s="182"/>
      <c r="BM54" s="182"/>
      <c r="BN54" s="182"/>
      <c r="BP54" s="225">
        <f t="shared" si="4"/>
        <v>10</v>
      </c>
      <c r="BQ54" s="182">
        <f t="shared" si="5"/>
        <v>104</v>
      </c>
      <c r="BR54" s="173" t="s">
        <v>217</v>
      </c>
      <c r="BS54" s="226">
        <f t="shared" si="20"/>
        <v>13849.8</v>
      </c>
      <c r="BT54" s="227" t="s">
        <v>335</v>
      </c>
      <c r="BU54" s="227"/>
      <c r="BV54" s="227" t="s">
        <v>335</v>
      </c>
      <c r="BW54" s="227" t="s">
        <v>335</v>
      </c>
      <c r="BX54" s="230" t="s">
        <v>1181</v>
      </c>
      <c r="BY54" s="189" t="s">
        <v>1186</v>
      </c>
      <c r="CA54" s="177" t="s">
        <v>116</v>
      </c>
      <c r="CB54" s="187">
        <v>18388.5</v>
      </c>
      <c r="CC54" s="186">
        <v>7995</v>
      </c>
      <c r="CD54" s="186">
        <v>10</v>
      </c>
      <c r="CE54" s="173">
        <v>24</v>
      </c>
      <c r="CF54" s="173">
        <v>30</v>
      </c>
      <c r="CG54" s="173">
        <f t="shared" si="22"/>
        <v>2.4</v>
      </c>
      <c r="CK54" s="173">
        <f t="shared" si="23"/>
        <v>0</v>
      </c>
    </row>
    <row r="55" spans="1:89" ht="15" customHeight="1">
      <c r="A55" s="177" t="s">
        <v>82</v>
      </c>
      <c r="B55" s="173" t="s">
        <v>564</v>
      </c>
      <c r="C55" s="175">
        <v>114</v>
      </c>
      <c r="D55" s="173" t="s">
        <v>596</v>
      </c>
      <c r="E55" s="177" t="s">
        <v>173</v>
      </c>
      <c r="F55" s="213">
        <v>0</v>
      </c>
      <c r="G55" s="213">
        <v>0</v>
      </c>
      <c r="H55" s="213" t="s">
        <v>1124</v>
      </c>
      <c r="I55" s="213" t="s">
        <v>1205</v>
      </c>
      <c r="J55" s="213" t="s">
        <v>1031</v>
      </c>
      <c r="K55" s="214" t="s">
        <v>363</v>
      </c>
      <c r="L55" s="213"/>
      <c r="M55" s="213" t="s">
        <v>1206</v>
      </c>
      <c r="N55" s="213" t="s">
        <v>1149</v>
      </c>
      <c r="O55" s="213" t="s">
        <v>1207</v>
      </c>
      <c r="P55" s="177">
        <v>7.375</v>
      </c>
      <c r="Q55" s="177">
        <v>4.875</v>
      </c>
      <c r="R55" s="177">
        <v>3</v>
      </c>
      <c r="S55" s="215">
        <v>730007000337</v>
      </c>
      <c r="T55" s="177">
        <v>0.1</v>
      </c>
      <c r="U55" s="178">
        <v>6.2418619791666664E-2</v>
      </c>
      <c r="V55" s="173" t="s">
        <v>565</v>
      </c>
      <c r="W55" s="217">
        <v>6</v>
      </c>
      <c r="X55" s="177">
        <v>6</v>
      </c>
      <c r="Y55" s="177">
        <v>5.25</v>
      </c>
      <c r="Z55" s="177">
        <v>15.2</v>
      </c>
      <c r="AA55" s="177">
        <v>1.7</v>
      </c>
      <c r="AB55" s="178">
        <v>0.27708333333333329</v>
      </c>
      <c r="AC55" s="177">
        <v>24</v>
      </c>
      <c r="AD55" s="177">
        <v>13</v>
      </c>
      <c r="AE55" s="177">
        <v>11.5</v>
      </c>
      <c r="AF55" s="177">
        <v>15.7</v>
      </c>
      <c r="AG55" s="177">
        <v>8.8000000000000007</v>
      </c>
      <c r="AM55" s="218" t="s">
        <v>987</v>
      </c>
      <c r="AN55" s="177" t="s">
        <v>988</v>
      </c>
      <c r="AO55" s="177" t="s">
        <v>989</v>
      </c>
      <c r="AQ55" s="281">
        <v>1599</v>
      </c>
      <c r="AR55" s="219">
        <v>15990</v>
      </c>
      <c r="AS55" s="220">
        <v>307.5</v>
      </c>
      <c r="AT55" s="221">
        <v>0.19230769230769232</v>
      </c>
      <c r="AU55" s="222">
        <v>0.63138461538461543</v>
      </c>
      <c r="AV55" s="189">
        <v>6</v>
      </c>
      <c r="AW55" s="223">
        <f t="shared" si="25"/>
        <v>0</v>
      </c>
      <c r="AX55" s="177">
        <v>6</v>
      </c>
      <c r="AY55" s="177">
        <v>5.25</v>
      </c>
      <c r="AZ55" s="177">
        <v>15.2</v>
      </c>
      <c r="BA55" s="177">
        <v>1.7</v>
      </c>
      <c r="BG55" s="182">
        <f t="shared" si="0"/>
        <v>31.2</v>
      </c>
      <c r="BH55" s="224">
        <f t="shared" si="1"/>
        <v>1.5384615384615385</v>
      </c>
      <c r="BI55" s="182">
        <f t="shared" si="2"/>
        <v>6</v>
      </c>
      <c r="BJ55" s="182">
        <f t="shared" si="3"/>
        <v>6</v>
      </c>
      <c r="BL55" s="182"/>
      <c r="BM55" s="182"/>
      <c r="BN55" s="182"/>
      <c r="BP55" s="225">
        <f t="shared" si="4"/>
        <v>6</v>
      </c>
      <c r="BQ55" s="182">
        <f t="shared" si="5"/>
        <v>31.2</v>
      </c>
      <c r="BR55" s="173" t="s">
        <v>204</v>
      </c>
      <c r="BS55" s="226">
        <f t="shared" si="20"/>
        <v>6057.5040000000008</v>
      </c>
      <c r="BT55" s="227" t="s">
        <v>335</v>
      </c>
      <c r="BU55" s="227"/>
      <c r="BV55" s="227" t="s">
        <v>335</v>
      </c>
      <c r="BW55" s="227" t="s">
        <v>335</v>
      </c>
      <c r="BX55" s="189" t="s">
        <v>1014</v>
      </c>
      <c r="BY55" s="189"/>
      <c r="CA55" s="177" t="s">
        <v>173</v>
      </c>
      <c r="CB55" s="187">
        <v>11033.1</v>
      </c>
      <c r="CC55" s="186">
        <v>15990</v>
      </c>
      <c r="CD55" s="186">
        <v>6</v>
      </c>
      <c r="CE55" s="173">
        <v>24</v>
      </c>
      <c r="CF55" s="173">
        <f t="shared" si="21"/>
        <v>24</v>
      </c>
      <c r="CG55" s="173">
        <f t="shared" si="22"/>
        <v>4</v>
      </c>
      <c r="CK55" s="173">
        <f t="shared" si="23"/>
        <v>0</v>
      </c>
    </row>
    <row r="56" spans="1:89" ht="15" customHeight="1">
      <c r="A56" s="177" t="s">
        <v>82</v>
      </c>
      <c r="B56" s="173" t="s">
        <v>564</v>
      </c>
      <c r="C56" s="175">
        <v>138</v>
      </c>
      <c r="D56" s="173" t="s">
        <v>597</v>
      </c>
      <c r="E56" s="232" t="s">
        <v>74</v>
      </c>
      <c r="F56" s="213" t="s">
        <v>1056</v>
      </c>
      <c r="G56" s="213" t="s">
        <v>1057</v>
      </c>
      <c r="H56" s="213" t="s">
        <v>73</v>
      </c>
      <c r="I56" s="213" t="s">
        <v>1208</v>
      </c>
      <c r="J56" s="213" t="s">
        <v>1031</v>
      </c>
      <c r="K56" s="214" t="s">
        <v>78</v>
      </c>
      <c r="L56" s="213" t="s">
        <v>1209</v>
      </c>
      <c r="M56" s="213" t="s">
        <v>1210</v>
      </c>
      <c r="N56" s="213"/>
      <c r="O56" s="213"/>
      <c r="P56" s="177">
        <v>10.25</v>
      </c>
      <c r="Q56" s="177">
        <v>3.65</v>
      </c>
      <c r="R56" s="177">
        <v>2.38</v>
      </c>
      <c r="S56" s="215" t="s">
        <v>812</v>
      </c>
      <c r="T56" s="177">
        <v>0.19</v>
      </c>
      <c r="U56" s="178">
        <v>5.1528790509259258E-2</v>
      </c>
      <c r="V56" s="173" t="s">
        <v>565</v>
      </c>
      <c r="W56" s="217">
        <v>3</v>
      </c>
      <c r="X56" s="177">
        <v>10.5</v>
      </c>
      <c r="Y56" s="177">
        <v>3.4</v>
      </c>
      <c r="Z56" s="177">
        <v>7.2</v>
      </c>
      <c r="AA56" s="177">
        <v>2.15</v>
      </c>
      <c r="AB56" s="178">
        <v>0.14874999999999997</v>
      </c>
      <c r="AC56" s="177">
        <v>18</v>
      </c>
      <c r="AD56" s="177">
        <v>11</v>
      </c>
      <c r="AE56" s="177">
        <v>18</v>
      </c>
      <c r="AF56" s="177">
        <v>5.5</v>
      </c>
      <c r="AG56" s="177">
        <v>12.75</v>
      </c>
      <c r="AM56" s="218" t="s">
        <v>987</v>
      </c>
      <c r="AN56" s="177" t="s">
        <v>988</v>
      </c>
      <c r="AO56" s="177" t="s">
        <v>989</v>
      </c>
      <c r="AQ56" s="281">
        <v>1715</v>
      </c>
      <c r="AR56" s="219">
        <v>13720.000000000002</v>
      </c>
      <c r="AS56" s="220">
        <v>263.84615384615387</v>
      </c>
      <c r="AT56" s="221">
        <v>0.15384615384615385</v>
      </c>
      <c r="AU56" s="222">
        <v>1.0724615384615384</v>
      </c>
      <c r="AV56" s="189">
        <v>4</v>
      </c>
      <c r="AW56" s="223">
        <f t="shared" si="25"/>
        <v>1</v>
      </c>
      <c r="AX56" s="177">
        <v>10.5</v>
      </c>
      <c r="AY56" s="177">
        <v>3.4</v>
      </c>
      <c r="AZ56" s="177">
        <v>5</v>
      </c>
      <c r="BA56" s="177">
        <v>2.15</v>
      </c>
      <c r="BG56" s="182">
        <f t="shared" si="0"/>
        <v>26</v>
      </c>
      <c r="BH56" s="224">
        <f t="shared" si="1"/>
        <v>1.2307692307692308</v>
      </c>
      <c r="BI56" s="182">
        <f t="shared" si="2"/>
        <v>4</v>
      </c>
      <c r="BJ56" s="182">
        <f t="shared" si="3"/>
        <v>4</v>
      </c>
      <c r="BL56" s="182"/>
      <c r="BM56" s="182"/>
      <c r="BN56" s="182"/>
      <c r="BP56" s="225">
        <f t="shared" si="4"/>
        <v>4</v>
      </c>
      <c r="BQ56" s="182">
        <f t="shared" si="5"/>
        <v>26</v>
      </c>
      <c r="BR56" s="173" t="s">
        <v>204</v>
      </c>
      <c r="BS56" s="226">
        <f t="shared" si="20"/>
        <v>7357.0861538461531</v>
      </c>
      <c r="BT56" s="227" t="s">
        <v>335</v>
      </c>
      <c r="BU56" s="227" t="s">
        <v>335</v>
      </c>
      <c r="BV56" s="227" t="s">
        <v>335</v>
      </c>
      <c r="BW56" s="227" t="s">
        <v>335</v>
      </c>
      <c r="BX56" s="189" t="s">
        <v>1014</v>
      </c>
      <c r="BY56" s="189" t="s">
        <v>1118</v>
      </c>
      <c r="CA56" s="232" t="s">
        <v>74</v>
      </c>
      <c r="CB56" s="187">
        <v>7889</v>
      </c>
      <c r="CC56" s="186">
        <v>13720.000000000002</v>
      </c>
      <c r="CD56" s="186">
        <v>4</v>
      </c>
      <c r="CE56" s="173">
        <v>18</v>
      </c>
      <c r="CF56" s="173">
        <v>20</v>
      </c>
      <c r="CG56" s="173">
        <f t="shared" si="22"/>
        <v>4.5</v>
      </c>
      <c r="CK56" s="173">
        <f t="shared" si="23"/>
        <v>0</v>
      </c>
    </row>
    <row r="57" spans="1:89" ht="15" customHeight="1">
      <c r="A57" s="177" t="s">
        <v>82</v>
      </c>
      <c r="B57" s="173" t="s">
        <v>564</v>
      </c>
      <c r="C57" s="175">
        <v>79</v>
      </c>
      <c r="D57" s="173" t="s">
        <v>301</v>
      </c>
      <c r="E57" s="177" t="s">
        <v>117</v>
      </c>
      <c r="F57" s="213" t="s">
        <v>1211</v>
      </c>
      <c r="G57" s="213" t="s">
        <v>1212</v>
      </c>
      <c r="H57" s="213" t="s">
        <v>73</v>
      </c>
      <c r="I57" s="213" t="s">
        <v>1213</v>
      </c>
      <c r="J57" s="213" t="s">
        <v>1031</v>
      </c>
      <c r="K57" s="214" t="s">
        <v>88</v>
      </c>
      <c r="L57" s="213" t="s">
        <v>1214</v>
      </c>
      <c r="M57" s="213" t="s">
        <v>1215</v>
      </c>
      <c r="N57" s="213"/>
      <c r="O57" s="213"/>
      <c r="P57" s="177">
        <v>5.7</v>
      </c>
      <c r="Q57" s="177">
        <v>3.65</v>
      </c>
      <c r="R57" s="177">
        <v>1</v>
      </c>
      <c r="S57" s="215" t="s">
        <v>838</v>
      </c>
      <c r="T57" s="177">
        <v>0.1</v>
      </c>
      <c r="U57" s="178">
        <v>1.2039930555555555E-2</v>
      </c>
      <c r="V57" s="173" t="s">
        <v>565</v>
      </c>
      <c r="W57" s="217">
        <v>6</v>
      </c>
      <c r="X57" s="177">
        <v>6.75</v>
      </c>
      <c r="Y57" s="177">
        <v>6</v>
      </c>
      <c r="Z57" s="177">
        <v>4.0999999999999996</v>
      </c>
      <c r="AA57" s="177">
        <v>0.88</v>
      </c>
      <c r="AB57" s="178">
        <v>9.6093749999999992E-2</v>
      </c>
      <c r="AC57" s="177">
        <v>24</v>
      </c>
      <c r="AD57" s="177">
        <v>7.5</v>
      </c>
      <c r="AE57" s="177">
        <v>6.5</v>
      </c>
      <c r="AF57" s="177">
        <v>13.299999999999999</v>
      </c>
      <c r="AG57" s="177">
        <v>5.3000000000000007</v>
      </c>
      <c r="AM57" s="218" t="s">
        <v>987</v>
      </c>
      <c r="AN57" s="177" t="s">
        <v>988</v>
      </c>
      <c r="AO57" s="177" t="s">
        <v>989</v>
      </c>
      <c r="AQ57" s="281">
        <v>1503</v>
      </c>
      <c r="AR57" s="219">
        <v>12024.000000000002</v>
      </c>
      <c r="AS57" s="220">
        <v>231.23076923076925</v>
      </c>
      <c r="AT57" s="221">
        <v>0.15384615384615385</v>
      </c>
      <c r="AU57" s="222">
        <v>0.78338461538461535</v>
      </c>
      <c r="AV57" s="189">
        <v>10</v>
      </c>
      <c r="AW57" s="223">
        <f t="shared" si="25"/>
        <v>4</v>
      </c>
      <c r="AX57" s="229">
        <v>7</v>
      </c>
      <c r="AY57" s="229">
        <v>6</v>
      </c>
      <c r="AZ57" s="229">
        <v>4.0999999999999996</v>
      </c>
      <c r="BA57" s="229">
        <v>1.1000000000000001</v>
      </c>
      <c r="BB57" s="229"/>
      <c r="BC57" s="229"/>
      <c r="BD57" s="229"/>
      <c r="BE57" s="229"/>
      <c r="BF57" s="229"/>
      <c r="BG57" s="182">
        <f t="shared" si="0"/>
        <v>65</v>
      </c>
      <c r="BH57" s="224">
        <f t="shared" si="1"/>
        <v>1.2307692307692308</v>
      </c>
      <c r="BI57" s="182">
        <f t="shared" si="2"/>
        <v>10</v>
      </c>
      <c r="BJ57" s="182">
        <f t="shared" si="3"/>
        <v>10</v>
      </c>
      <c r="BL57" s="182"/>
      <c r="BM57" s="182"/>
      <c r="BN57" s="182"/>
      <c r="BP57" s="225">
        <f t="shared" si="4"/>
        <v>10</v>
      </c>
      <c r="BQ57" s="182">
        <f t="shared" si="5"/>
        <v>65</v>
      </c>
      <c r="BR57" s="173" t="s">
        <v>217</v>
      </c>
      <c r="BS57" s="226">
        <f t="shared" si="20"/>
        <v>11774.270769230769</v>
      </c>
      <c r="BT57" s="227" t="s">
        <v>335</v>
      </c>
      <c r="BU57" s="227"/>
      <c r="BV57" s="227"/>
      <c r="BW57" s="227" t="s">
        <v>335</v>
      </c>
      <c r="BX57" s="230" t="s">
        <v>1181</v>
      </c>
      <c r="BY57" s="189" t="s">
        <v>1186</v>
      </c>
      <c r="CA57" s="177" t="s">
        <v>117</v>
      </c>
      <c r="CB57" s="187">
        <v>17284.5</v>
      </c>
      <c r="CC57" s="186">
        <v>12024.000000000002</v>
      </c>
      <c r="CD57" s="186">
        <v>10</v>
      </c>
      <c r="CE57" s="173">
        <v>24</v>
      </c>
      <c r="CF57" s="173">
        <v>30</v>
      </c>
      <c r="CG57" s="173">
        <f t="shared" si="22"/>
        <v>2.4</v>
      </c>
      <c r="CK57" s="173">
        <f t="shared" si="23"/>
        <v>0</v>
      </c>
    </row>
    <row r="58" spans="1:89" ht="15" customHeight="1">
      <c r="A58" s="177" t="s">
        <v>82</v>
      </c>
      <c r="B58" s="173" t="s">
        <v>564</v>
      </c>
      <c r="C58" s="175">
        <v>84</v>
      </c>
      <c r="D58" s="173" t="s">
        <v>598</v>
      </c>
      <c r="E58" s="177" t="s">
        <v>168</v>
      </c>
      <c r="F58" s="213" t="s">
        <v>1056</v>
      </c>
      <c r="G58" s="213" t="s">
        <v>1057</v>
      </c>
      <c r="H58" s="213" t="s">
        <v>73</v>
      </c>
      <c r="I58" s="213" t="s">
        <v>1208</v>
      </c>
      <c r="J58" s="213" t="s">
        <v>1216</v>
      </c>
      <c r="K58" s="214" t="s">
        <v>78</v>
      </c>
      <c r="L58" s="213" t="s">
        <v>1217</v>
      </c>
      <c r="M58" s="213" t="s">
        <v>1218</v>
      </c>
      <c r="N58" s="213" t="s">
        <v>1219</v>
      </c>
      <c r="O58" s="213"/>
      <c r="P58" s="177">
        <v>10.25</v>
      </c>
      <c r="Q58" s="177">
        <v>3.65</v>
      </c>
      <c r="R58" s="177">
        <v>2.38</v>
      </c>
      <c r="S58" s="215" t="s">
        <v>874</v>
      </c>
      <c r="T58" s="177" t="s">
        <v>327</v>
      </c>
      <c r="U58" s="178" t="s">
        <v>327</v>
      </c>
      <c r="V58" s="173" t="s">
        <v>565</v>
      </c>
      <c r="W58" s="217">
        <v>3</v>
      </c>
      <c r="X58" s="177">
        <v>3</v>
      </c>
      <c r="Y58" s="177">
        <v>10.5</v>
      </c>
      <c r="Z58" s="177">
        <v>3.4</v>
      </c>
      <c r="AA58" s="177">
        <v>7.2</v>
      </c>
      <c r="AB58" s="178">
        <v>6.1979166666666662E-2</v>
      </c>
      <c r="AC58" s="177">
        <v>18</v>
      </c>
      <c r="AD58" s="177">
        <v>16</v>
      </c>
      <c r="AE58" s="177">
        <v>11</v>
      </c>
      <c r="AF58" s="177">
        <v>5.5</v>
      </c>
      <c r="AG58" s="177">
        <v>38</v>
      </c>
      <c r="AM58" s="218" t="s">
        <v>987</v>
      </c>
      <c r="AN58" s="177" t="s">
        <v>988</v>
      </c>
      <c r="AO58" s="177" t="s">
        <v>989</v>
      </c>
      <c r="AQ58" s="281">
        <v>1503</v>
      </c>
      <c r="AR58" s="219">
        <v>12024.000000000002</v>
      </c>
      <c r="AS58" s="220">
        <v>231.23076923076925</v>
      </c>
      <c r="AT58" s="221">
        <v>0.15384615384615385</v>
      </c>
      <c r="AU58" s="222">
        <v>1.0769230769230769</v>
      </c>
      <c r="AV58" s="189">
        <v>4</v>
      </c>
      <c r="AW58" s="223">
        <f t="shared" si="25"/>
        <v>1</v>
      </c>
      <c r="AX58" s="177">
        <v>3</v>
      </c>
      <c r="AY58" s="177">
        <v>10.5</v>
      </c>
      <c r="AZ58" s="229">
        <v>5</v>
      </c>
      <c r="BA58" s="177">
        <v>7.2</v>
      </c>
      <c r="BG58" s="182">
        <f t="shared" si="0"/>
        <v>26</v>
      </c>
      <c r="BH58" s="224">
        <f t="shared" si="1"/>
        <v>1.2307692307692308</v>
      </c>
      <c r="BI58" s="182">
        <f t="shared" si="2"/>
        <v>4</v>
      </c>
      <c r="BJ58" s="182">
        <f t="shared" si="3"/>
        <v>4</v>
      </c>
      <c r="BL58" s="182"/>
      <c r="BM58" s="182"/>
      <c r="BN58" s="182"/>
      <c r="BP58" s="225">
        <f t="shared" si="4"/>
        <v>4</v>
      </c>
      <c r="BQ58" s="182">
        <f t="shared" si="5"/>
        <v>26</v>
      </c>
      <c r="BR58" s="173" t="s">
        <v>204</v>
      </c>
      <c r="BS58" s="226">
        <f t="shared" si="20"/>
        <v>6474.4615384615381</v>
      </c>
      <c r="BT58" s="227" t="s">
        <v>335</v>
      </c>
      <c r="BU58" s="227"/>
      <c r="BV58" s="227"/>
      <c r="BW58" s="227" t="s">
        <v>335</v>
      </c>
      <c r="BX58" s="230" t="s">
        <v>1091</v>
      </c>
      <c r="BY58" s="189" t="s">
        <v>1118</v>
      </c>
      <c r="CA58" s="177" t="s">
        <v>168</v>
      </c>
      <c r="CB58" s="187">
        <v>6913.8</v>
      </c>
      <c r="CC58" s="186">
        <v>12024.000000000002</v>
      </c>
      <c r="CD58" s="186">
        <v>4</v>
      </c>
      <c r="CE58" s="173">
        <v>18</v>
      </c>
      <c r="CF58" s="173">
        <v>20</v>
      </c>
      <c r="CG58" s="173">
        <f t="shared" si="22"/>
        <v>4.5</v>
      </c>
      <c r="CK58" s="173">
        <f t="shared" si="23"/>
        <v>0</v>
      </c>
    </row>
    <row r="59" spans="1:89" ht="15" customHeight="1">
      <c r="A59" s="177" t="s">
        <v>82</v>
      </c>
      <c r="B59" s="173" t="s">
        <v>564</v>
      </c>
      <c r="C59" s="175">
        <v>135</v>
      </c>
      <c r="D59" s="173" t="s">
        <v>213</v>
      </c>
      <c r="E59" s="177" t="s">
        <v>81</v>
      </c>
      <c r="F59" s="213" t="s">
        <v>1193</v>
      </c>
      <c r="G59" s="213" t="s">
        <v>1194</v>
      </c>
      <c r="H59" s="213" t="s">
        <v>122</v>
      </c>
      <c r="I59" s="213" t="s">
        <v>1220</v>
      </c>
      <c r="J59" s="213" t="s">
        <v>1019</v>
      </c>
      <c r="K59" s="214" t="s">
        <v>214</v>
      </c>
      <c r="L59" s="213" t="s">
        <v>1221</v>
      </c>
      <c r="M59" s="213" t="s">
        <v>1222</v>
      </c>
      <c r="N59" s="213"/>
      <c r="O59" s="213"/>
      <c r="P59" s="177">
        <v>5.7</v>
      </c>
      <c r="Q59" s="177">
        <v>3.65</v>
      </c>
      <c r="R59" s="177">
        <v>1.5</v>
      </c>
      <c r="S59" s="215" t="s">
        <v>814</v>
      </c>
      <c r="T59" s="177">
        <v>7.0000000000000007E-2</v>
      </c>
      <c r="U59" s="178">
        <v>1.8059895833333332E-2</v>
      </c>
      <c r="V59" s="173" t="s">
        <v>565</v>
      </c>
      <c r="W59" s="217">
        <v>6</v>
      </c>
      <c r="X59" s="177">
        <v>6.75</v>
      </c>
      <c r="Y59" s="177">
        <v>6</v>
      </c>
      <c r="Z59" s="177">
        <v>4.0999999999999996</v>
      </c>
      <c r="AA59" s="177">
        <v>1</v>
      </c>
      <c r="AB59" s="178">
        <v>9.6093749999999992E-2</v>
      </c>
      <c r="AC59" s="177">
        <v>24</v>
      </c>
      <c r="AD59" s="177">
        <v>7.25</v>
      </c>
      <c r="AE59" s="177">
        <v>13</v>
      </c>
      <c r="AF59" s="177">
        <v>9.1999999999999993</v>
      </c>
      <c r="AG59" s="177">
        <v>6</v>
      </c>
      <c r="AM59" s="218" t="s">
        <v>987</v>
      </c>
      <c r="AN59" s="177" t="s">
        <v>988</v>
      </c>
      <c r="AO59" s="177" t="s">
        <v>989</v>
      </c>
      <c r="AQ59" s="281">
        <v>1715</v>
      </c>
      <c r="AR59" s="219">
        <v>17150</v>
      </c>
      <c r="AS59" s="220">
        <v>329.80769230769232</v>
      </c>
      <c r="AT59" s="221">
        <v>0.19230769230769232</v>
      </c>
      <c r="AU59" s="222">
        <v>0.5707692307692307</v>
      </c>
      <c r="AV59" s="189">
        <v>6</v>
      </c>
      <c r="AW59" s="223">
        <f t="shared" si="25"/>
        <v>0</v>
      </c>
      <c r="AX59" s="228">
        <v>6.75</v>
      </c>
      <c r="AY59" s="177">
        <v>6</v>
      </c>
      <c r="AZ59" s="177">
        <v>4.0999999999999996</v>
      </c>
      <c r="BA59" s="177">
        <v>1</v>
      </c>
      <c r="BG59" s="182">
        <f t="shared" si="0"/>
        <v>31.2</v>
      </c>
      <c r="BH59" s="224">
        <f t="shared" si="1"/>
        <v>1.5384615384615385</v>
      </c>
      <c r="BI59" s="182">
        <f t="shared" si="2"/>
        <v>6</v>
      </c>
      <c r="BJ59" s="182">
        <f t="shared" si="3"/>
        <v>6</v>
      </c>
      <c r="BL59" s="182"/>
      <c r="BM59" s="182"/>
      <c r="BN59" s="182"/>
      <c r="BP59" s="225">
        <f t="shared" si="4"/>
        <v>6</v>
      </c>
      <c r="BQ59" s="182">
        <f t="shared" si="5"/>
        <v>31.2</v>
      </c>
      <c r="BR59" s="173" t="s">
        <v>204</v>
      </c>
      <c r="BS59" s="226">
        <f t="shared" si="20"/>
        <v>5873.2153846153842</v>
      </c>
      <c r="BT59" s="227" t="s">
        <v>335</v>
      </c>
      <c r="BU59" s="227" t="s">
        <v>335</v>
      </c>
      <c r="BV59" s="227" t="s">
        <v>335</v>
      </c>
      <c r="BW59" s="227" t="s">
        <v>335</v>
      </c>
      <c r="BX59" s="230" t="s">
        <v>1091</v>
      </c>
      <c r="BY59" s="231" t="s">
        <v>1092</v>
      </c>
      <c r="CA59" s="177" t="s">
        <v>81</v>
      </c>
      <c r="CB59" s="187">
        <v>11833.5</v>
      </c>
      <c r="CC59" s="186">
        <v>17150</v>
      </c>
      <c r="CD59" s="186">
        <v>6</v>
      </c>
      <c r="CE59" s="173">
        <v>24</v>
      </c>
      <c r="CF59" s="173">
        <f t="shared" si="21"/>
        <v>24</v>
      </c>
      <c r="CG59" s="173">
        <f t="shared" si="22"/>
        <v>4</v>
      </c>
      <c r="CK59" s="173">
        <f t="shared" si="23"/>
        <v>0</v>
      </c>
    </row>
    <row r="60" spans="1:89" ht="15" customHeight="1">
      <c r="A60" s="177" t="s">
        <v>82</v>
      </c>
      <c r="B60" s="173" t="s">
        <v>564</v>
      </c>
      <c r="C60" s="175">
        <v>63</v>
      </c>
      <c r="D60" s="173" t="s">
        <v>238</v>
      </c>
      <c r="E60" s="177" t="s">
        <v>91</v>
      </c>
      <c r="F60" s="213" t="s">
        <v>1223</v>
      </c>
      <c r="G60" s="213" t="s">
        <v>1224</v>
      </c>
      <c r="H60" s="213" t="s">
        <v>73</v>
      </c>
      <c r="I60" s="213" t="s">
        <v>1225</v>
      </c>
      <c r="J60" s="213" t="s">
        <v>1019</v>
      </c>
      <c r="K60" s="214" t="s">
        <v>239</v>
      </c>
      <c r="L60" s="213" t="s">
        <v>1226</v>
      </c>
      <c r="M60" s="213" t="s">
        <v>1227</v>
      </c>
      <c r="N60" s="213"/>
      <c r="O60" s="213"/>
      <c r="P60" s="177">
        <v>8.25</v>
      </c>
      <c r="Q60" s="177">
        <v>5</v>
      </c>
      <c r="R60" s="177">
        <v>2.5</v>
      </c>
      <c r="S60" s="215" t="s">
        <v>819</v>
      </c>
      <c r="T60" s="177">
        <v>2.1</v>
      </c>
      <c r="U60" s="178">
        <v>5.9678819444444448E-2</v>
      </c>
      <c r="V60" s="216" t="s">
        <v>565</v>
      </c>
      <c r="W60" s="217">
        <v>6</v>
      </c>
      <c r="X60" s="177">
        <v>13</v>
      </c>
      <c r="Y60" s="177">
        <v>8.5</v>
      </c>
      <c r="Z60" s="177">
        <v>7.25</v>
      </c>
      <c r="AA60" s="177">
        <v>8.16</v>
      </c>
      <c r="AB60" s="178">
        <v>0.46361400462962965</v>
      </c>
      <c r="AC60" s="177">
        <v>24</v>
      </c>
      <c r="AD60" s="177">
        <v>13.5</v>
      </c>
      <c r="AE60" s="177">
        <v>18</v>
      </c>
      <c r="AF60" s="177">
        <v>15.5</v>
      </c>
      <c r="AG60" s="177">
        <v>34.64</v>
      </c>
      <c r="AM60" s="218" t="s">
        <v>987</v>
      </c>
      <c r="AN60" s="177" t="s">
        <v>988</v>
      </c>
      <c r="AO60" s="177" t="s">
        <v>989</v>
      </c>
      <c r="AQ60" s="281">
        <v>184</v>
      </c>
      <c r="AR60" s="219">
        <v>2208.0000000000005</v>
      </c>
      <c r="AS60" s="220">
        <v>42.461538461538467</v>
      </c>
      <c r="AT60" s="221">
        <v>0.23076923076923081</v>
      </c>
      <c r="AU60" s="222">
        <v>5.7726153846153849</v>
      </c>
      <c r="AV60" s="189">
        <v>3</v>
      </c>
      <c r="AW60" s="223">
        <f t="shared" si="25"/>
        <v>-3</v>
      </c>
      <c r="AX60" s="177">
        <v>13</v>
      </c>
      <c r="AY60" s="177">
        <v>8.5</v>
      </c>
      <c r="AZ60" s="177">
        <f>7.25/2</f>
        <v>3.625</v>
      </c>
      <c r="BA60" s="177">
        <f>8.16/2</f>
        <v>4.08</v>
      </c>
      <c r="BG60" s="182">
        <f t="shared" si="0"/>
        <v>12.999999999999998</v>
      </c>
      <c r="BH60" s="224">
        <f t="shared" si="1"/>
        <v>1.8461538461538465</v>
      </c>
      <c r="BI60" s="182">
        <f t="shared" si="2"/>
        <v>3</v>
      </c>
      <c r="BJ60" s="182">
        <f t="shared" si="3"/>
        <v>3</v>
      </c>
      <c r="BL60" s="182"/>
      <c r="BM60" s="182"/>
      <c r="BN60" s="182"/>
      <c r="BP60" s="225">
        <f t="shared" si="4"/>
        <v>3</v>
      </c>
      <c r="BQ60" s="182">
        <f t="shared" si="5"/>
        <v>12.999999999999998</v>
      </c>
      <c r="BR60" s="173" t="s">
        <v>240</v>
      </c>
      <c r="BS60" s="226">
        <f t="shared" si="20"/>
        <v>3186.4836923076923</v>
      </c>
      <c r="BT60" s="227"/>
      <c r="BU60" s="227" t="s">
        <v>335</v>
      </c>
      <c r="BV60" s="227"/>
      <c r="BW60" s="227" t="s">
        <v>335</v>
      </c>
      <c r="BX60" s="189" t="s">
        <v>990</v>
      </c>
      <c r="BY60" s="189"/>
      <c r="CA60" s="177" t="s">
        <v>91</v>
      </c>
      <c r="CB60" s="187">
        <v>627.9</v>
      </c>
      <c r="CC60" s="186">
        <v>2208.0000000000005</v>
      </c>
      <c r="CD60" s="186">
        <v>3</v>
      </c>
      <c r="CE60" s="173">
        <v>24</v>
      </c>
      <c r="CF60" s="173">
        <f t="shared" si="21"/>
        <v>24</v>
      </c>
      <c r="CG60" s="173">
        <f t="shared" si="22"/>
        <v>8</v>
      </c>
      <c r="CK60" s="173">
        <f t="shared" si="23"/>
        <v>0</v>
      </c>
    </row>
    <row r="61" spans="1:89" ht="15" customHeight="1">
      <c r="A61" s="177" t="s">
        <v>82</v>
      </c>
      <c r="B61" s="173" t="s">
        <v>564</v>
      </c>
      <c r="C61" s="175">
        <v>59</v>
      </c>
      <c r="D61" s="173" t="s">
        <v>601</v>
      </c>
      <c r="E61" s="177" t="s">
        <v>97</v>
      </c>
      <c r="F61" s="213" t="s">
        <v>1223</v>
      </c>
      <c r="G61" s="213" t="s">
        <v>1224</v>
      </c>
      <c r="H61" s="213" t="s">
        <v>73</v>
      </c>
      <c r="I61" s="213" t="s">
        <v>1228</v>
      </c>
      <c r="J61" s="213" t="s">
        <v>1019</v>
      </c>
      <c r="K61" s="214" t="s">
        <v>257</v>
      </c>
      <c r="L61" s="213" t="s">
        <v>1229</v>
      </c>
      <c r="M61" s="213" t="s">
        <v>1230</v>
      </c>
      <c r="N61" s="213"/>
      <c r="O61" s="213"/>
      <c r="P61" s="177">
        <v>7</v>
      </c>
      <c r="Q61" s="177">
        <v>4.75</v>
      </c>
      <c r="R61" s="177">
        <v>2.5</v>
      </c>
      <c r="S61" s="215" t="s">
        <v>824</v>
      </c>
      <c r="T61" s="177">
        <v>1.4</v>
      </c>
      <c r="U61" s="178">
        <v>4.8104745370370371E-2</v>
      </c>
      <c r="V61" s="173" t="s">
        <v>565</v>
      </c>
      <c r="W61" s="217">
        <v>6</v>
      </c>
      <c r="X61" s="177">
        <v>11.5</v>
      </c>
      <c r="Y61" s="177">
        <v>6.5</v>
      </c>
      <c r="Z61" s="177">
        <v>5</v>
      </c>
      <c r="AA61" s="177">
        <v>5.99</v>
      </c>
      <c r="AB61" s="178">
        <v>0.21629050925925927</v>
      </c>
      <c r="AC61" s="177">
        <v>36</v>
      </c>
      <c r="AD61" s="177">
        <v>12</v>
      </c>
      <c r="AE61" s="177">
        <v>14</v>
      </c>
      <c r="AF61" s="177">
        <v>16</v>
      </c>
      <c r="AG61" s="177">
        <v>37.94</v>
      </c>
      <c r="AM61" s="218" t="s">
        <v>987</v>
      </c>
      <c r="AN61" s="177" t="s">
        <v>988</v>
      </c>
      <c r="AO61" s="177" t="s">
        <v>989</v>
      </c>
      <c r="AQ61" s="281">
        <v>184</v>
      </c>
      <c r="AR61" s="219">
        <v>1104.0000000000002</v>
      </c>
      <c r="AS61" s="220">
        <v>21.230769230769234</v>
      </c>
      <c r="AT61" s="221">
        <v>0.1153846153846154</v>
      </c>
      <c r="AU61" s="222">
        <v>5.4164615384615376</v>
      </c>
      <c r="AV61" s="189">
        <v>3</v>
      </c>
      <c r="AW61" s="223">
        <f t="shared" si="25"/>
        <v>-3</v>
      </c>
      <c r="AX61" s="177">
        <v>11.5</v>
      </c>
      <c r="AY61" s="177">
        <v>6.5</v>
      </c>
      <c r="AZ61" s="177">
        <f>5/2</f>
        <v>2.5</v>
      </c>
      <c r="BA61" s="177">
        <f>5.99/2</f>
        <v>2.9950000000000001</v>
      </c>
      <c r="BG61" s="182">
        <f t="shared" si="0"/>
        <v>25.999999999999996</v>
      </c>
      <c r="BH61" s="224">
        <f t="shared" si="1"/>
        <v>0.92307692307692324</v>
      </c>
      <c r="BI61" s="182">
        <f t="shared" si="2"/>
        <v>3</v>
      </c>
      <c r="BJ61" s="182">
        <f t="shared" si="3"/>
        <v>3</v>
      </c>
      <c r="BL61" s="182"/>
      <c r="BM61" s="182"/>
      <c r="BN61" s="182"/>
      <c r="BP61" s="225">
        <f t="shared" si="4"/>
        <v>3</v>
      </c>
      <c r="BQ61" s="182">
        <f t="shared" si="5"/>
        <v>25.999999999999996</v>
      </c>
      <c r="BR61" s="173" t="s">
        <v>240</v>
      </c>
      <c r="BS61" s="226">
        <f t="shared" si="20"/>
        <v>2989.886769230769</v>
      </c>
      <c r="BT61" s="227"/>
      <c r="BU61" s="227" t="s">
        <v>335</v>
      </c>
      <c r="BV61" s="227"/>
      <c r="BW61" s="227" t="s">
        <v>335</v>
      </c>
      <c r="BX61" s="189" t="s">
        <v>990</v>
      </c>
      <c r="BY61" s="189"/>
      <c r="CA61" s="177" t="s">
        <v>97</v>
      </c>
      <c r="CB61" s="187">
        <v>627.9</v>
      </c>
      <c r="CC61" s="186">
        <v>1104.0000000000002</v>
      </c>
      <c r="CD61" s="186">
        <v>3</v>
      </c>
      <c r="CE61" s="173">
        <v>36</v>
      </c>
      <c r="CF61" s="173">
        <f t="shared" si="21"/>
        <v>36</v>
      </c>
      <c r="CG61" s="173">
        <f t="shared" si="22"/>
        <v>12</v>
      </c>
      <c r="CK61" s="173">
        <f t="shared" si="23"/>
        <v>0</v>
      </c>
    </row>
    <row r="62" spans="1:89" ht="15" customHeight="1">
      <c r="A62" s="177" t="s">
        <v>82</v>
      </c>
      <c r="B62" s="173" t="s">
        <v>564</v>
      </c>
      <c r="C62" s="175">
        <v>106</v>
      </c>
      <c r="D62" s="173" t="s">
        <v>398</v>
      </c>
      <c r="E62" s="177" t="s">
        <v>152</v>
      </c>
      <c r="F62" s="213" t="s">
        <v>991</v>
      </c>
      <c r="G62" s="213" t="s">
        <v>992</v>
      </c>
      <c r="H62" s="213" t="s">
        <v>73</v>
      </c>
      <c r="I62" s="213" t="s">
        <v>1036</v>
      </c>
      <c r="J62" s="213" t="s">
        <v>1031</v>
      </c>
      <c r="K62" s="214" t="s">
        <v>272</v>
      </c>
      <c r="L62" s="213" t="s">
        <v>1231</v>
      </c>
      <c r="M62" s="213" t="s">
        <v>1232</v>
      </c>
      <c r="N62" s="213"/>
      <c r="O62" s="213"/>
      <c r="P62" s="177">
        <v>12</v>
      </c>
      <c r="Q62" s="177">
        <v>6.25</v>
      </c>
      <c r="R62" s="177">
        <v>2.5</v>
      </c>
      <c r="S62" s="215">
        <v>730007000146</v>
      </c>
      <c r="T62" s="177">
        <v>2</v>
      </c>
      <c r="U62" s="178">
        <v>0.10850694444444445</v>
      </c>
      <c r="V62" s="216" t="s">
        <v>572</v>
      </c>
      <c r="W62" s="217">
        <v>4</v>
      </c>
      <c r="X62" s="177">
        <v>14</v>
      </c>
      <c r="Y62" s="177">
        <v>6.75</v>
      </c>
      <c r="Z62" s="177">
        <v>6.5</v>
      </c>
      <c r="AA62" s="177">
        <v>5.5</v>
      </c>
      <c r="AB62" s="178">
        <v>0.35546875</v>
      </c>
      <c r="AC62" s="177">
        <v>16</v>
      </c>
      <c r="AD62" s="177">
        <v>14.5</v>
      </c>
      <c r="AE62" s="177">
        <v>14.5</v>
      </c>
      <c r="AF62" s="177">
        <v>14</v>
      </c>
      <c r="AG62" s="177">
        <v>24</v>
      </c>
      <c r="AM62" s="218" t="s">
        <v>987</v>
      </c>
      <c r="AN62" s="177" t="s">
        <v>988</v>
      </c>
      <c r="AO62" s="177" t="s">
        <v>989</v>
      </c>
      <c r="AQ62" s="281">
        <v>184</v>
      </c>
      <c r="AR62" s="219">
        <v>920</v>
      </c>
      <c r="AS62" s="220">
        <v>17.692307692307693</v>
      </c>
      <c r="AT62" s="221">
        <v>9.6153846153846159E-2</v>
      </c>
      <c r="AU62" s="222">
        <v>6.3692307692307688</v>
      </c>
      <c r="AV62" s="189">
        <v>2</v>
      </c>
      <c r="AW62" s="223">
        <f t="shared" si="25"/>
        <v>-2</v>
      </c>
      <c r="AX62" s="177">
        <v>14</v>
      </c>
      <c r="AY62" s="177">
        <v>6.75</v>
      </c>
      <c r="AZ62" s="177">
        <f>6.5/2</f>
        <v>3.25</v>
      </c>
      <c r="BA62" s="177">
        <f>5.5/2</f>
        <v>2.75</v>
      </c>
      <c r="BG62" s="182">
        <f t="shared" si="0"/>
        <v>20.799999999999997</v>
      </c>
      <c r="BH62" s="224">
        <f t="shared" si="1"/>
        <v>0.76923076923076927</v>
      </c>
      <c r="BI62" s="182">
        <f t="shared" si="2"/>
        <v>2</v>
      </c>
      <c r="BJ62" s="182">
        <f t="shared" si="3"/>
        <v>2</v>
      </c>
      <c r="BL62" s="182"/>
      <c r="BM62" s="182"/>
      <c r="BN62" s="182"/>
      <c r="BP62" s="225">
        <f t="shared" si="4"/>
        <v>2</v>
      </c>
      <c r="BQ62" s="182">
        <f t="shared" si="5"/>
        <v>20.799999999999997</v>
      </c>
      <c r="BR62" s="173" t="s">
        <v>217</v>
      </c>
      <c r="BS62" s="226">
        <f t="shared" si="20"/>
        <v>2343.876923076923</v>
      </c>
      <c r="BT62" s="227" t="s">
        <v>335</v>
      </c>
      <c r="BU62" s="227"/>
      <c r="BV62" s="227" t="s">
        <v>335</v>
      </c>
      <c r="BW62" s="227" t="s">
        <v>335</v>
      </c>
      <c r="BX62" s="189" t="s">
        <v>990</v>
      </c>
      <c r="BY62" s="189"/>
      <c r="CA62" s="177" t="s">
        <v>152</v>
      </c>
      <c r="CB62" s="187">
        <v>423.2</v>
      </c>
      <c r="CC62" s="186">
        <v>920</v>
      </c>
      <c r="CD62" s="186">
        <v>2</v>
      </c>
      <c r="CE62" s="173">
        <v>16</v>
      </c>
      <c r="CF62" s="173">
        <f t="shared" si="21"/>
        <v>16</v>
      </c>
      <c r="CG62" s="173">
        <f t="shared" si="22"/>
        <v>8</v>
      </c>
      <c r="CK62" s="173">
        <f t="shared" si="23"/>
        <v>0</v>
      </c>
    </row>
    <row r="63" spans="1:89" ht="15" customHeight="1">
      <c r="A63" s="177" t="s">
        <v>82</v>
      </c>
      <c r="B63" s="173" t="s">
        <v>564</v>
      </c>
      <c r="C63" s="175">
        <v>64</v>
      </c>
      <c r="D63" s="173" t="s">
        <v>262</v>
      </c>
      <c r="E63" s="177" t="s">
        <v>99</v>
      </c>
      <c r="F63" s="213" t="s">
        <v>1223</v>
      </c>
      <c r="G63" s="213" t="s">
        <v>1224</v>
      </c>
      <c r="H63" s="213" t="s">
        <v>73</v>
      </c>
      <c r="I63" s="213" t="s">
        <v>1233</v>
      </c>
      <c r="J63" s="213" t="s">
        <v>1019</v>
      </c>
      <c r="K63" s="214" t="s">
        <v>239</v>
      </c>
      <c r="L63" s="213" t="s">
        <v>1234</v>
      </c>
      <c r="M63" s="213" t="s">
        <v>1235</v>
      </c>
      <c r="N63" s="213"/>
      <c r="O63" s="213"/>
      <c r="P63" s="177">
        <v>8.25</v>
      </c>
      <c r="Q63" s="177">
        <v>5</v>
      </c>
      <c r="R63" s="177">
        <v>2.5</v>
      </c>
      <c r="S63" s="215" t="s">
        <v>826</v>
      </c>
      <c r="T63" s="177">
        <v>1.4</v>
      </c>
      <c r="U63" s="178">
        <v>5.9678819444444448E-2</v>
      </c>
      <c r="V63" s="216" t="s">
        <v>565</v>
      </c>
      <c r="W63" s="217">
        <v>6</v>
      </c>
      <c r="X63" s="177">
        <v>13</v>
      </c>
      <c r="Y63" s="177">
        <v>8.5</v>
      </c>
      <c r="Z63" s="177">
        <v>7.25</v>
      </c>
      <c r="AA63" s="177">
        <v>8.16</v>
      </c>
      <c r="AB63" s="178">
        <v>0.46361400462962965</v>
      </c>
      <c r="AC63" s="177">
        <v>24</v>
      </c>
      <c r="AD63" s="177">
        <v>13.5</v>
      </c>
      <c r="AE63" s="177">
        <v>18</v>
      </c>
      <c r="AF63" s="177">
        <v>15.5</v>
      </c>
      <c r="AG63" s="177">
        <v>34.64</v>
      </c>
      <c r="AM63" s="218" t="s">
        <v>987</v>
      </c>
      <c r="AN63" s="177" t="s">
        <v>988</v>
      </c>
      <c r="AO63" s="177" t="s">
        <v>989</v>
      </c>
      <c r="AQ63" s="281">
        <v>184</v>
      </c>
      <c r="AR63" s="219">
        <v>2208.0000000000005</v>
      </c>
      <c r="AS63" s="220">
        <v>42.461538461538467</v>
      </c>
      <c r="AT63" s="221">
        <v>0.23076923076923081</v>
      </c>
      <c r="AU63" s="222">
        <v>3.8033846153846151</v>
      </c>
      <c r="AV63" s="189">
        <v>3</v>
      </c>
      <c r="AW63" s="223">
        <f t="shared" si="25"/>
        <v>-3</v>
      </c>
      <c r="AX63" s="177">
        <v>13</v>
      </c>
      <c r="AY63" s="177">
        <v>8.5</v>
      </c>
      <c r="AZ63" s="177">
        <f>7.25/2</f>
        <v>3.625</v>
      </c>
      <c r="BA63" s="177">
        <f>8.16/2</f>
        <v>4.08</v>
      </c>
      <c r="BG63" s="182">
        <f t="shared" si="0"/>
        <v>12.999999999999998</v>
      </c>
      <c r="BH63" s="224">
        <f t="shared" si="1"/>
        <v>1.8461538461538465</v>
      </c>
      <c r="BI63" s="182">
        <f t="shared" si="2"/>
        <v>3</v>
      </c>
      <c r="BJ63" s="182">
        <f t="shared" si="3"/>
        <v>3</v>
      </c>
      <c r="BL63" s="182"/>
      <c r="BM63" s="182"/>
      <c r="BN63" s="182"/>
      <c r="BP63" s="225">
        <f t="shared" si="4"/>
        <v>3</v>
      </c>
      <c r="BQ63" s="182">
        <f t="shared" si="5"/>
        <v>12.999999999999998</v>
      </c>
      <c r="BR63" s="173" t="s">
        <v>240</v>
      </c>
      <c r="BS63" s="226">
        <f t="shared" si="20"/>
        <v>2099.4683076923075</v>
      </c>
      <c r="BT63" s="227"/>
      <c r="BU63" s="227" t="s">
        <v>335</v>
      </c>
      <c r="BV63" s="227"/>
      <c r="BW63" s="227" t="s">
        <v>335</v>
      </c>
      <c r="BX63" s="189" t="s">
        <v>990</v>
      </c>
      <c r="BY63" s="189"/>
      <c r="CA63" s="177" t="s">
        <v>99</v>
      </c>
      <c r="CB63" s="187">
        <v>627.9</v>
      </c>
      <c r="CC63" s="186">
        <v>2208.0000000000005</v>
      </c>
      <c r="CD63" s="186">
        <v>3</v>
      </c>
      <c r="CE63" s="173">
        <v>24</v>
      </c>
      <c r="CF63" s="173">
        <f t="shared" si="21"/>
        <v>24</v>
      </c>
      <c r="CG63" s="173">
        <f t="shared" si="22"/>
        <v>8</v>
      </c>
      <c r="CK63" s="173">
        <f t="shared" si="23"/>
        <v>0</v>
      </c>
    </row>
    <row r="64" spans="1:89" ht="15" customHeight="1">
      <c r="A64" s="177" t="s">
        <v>82</v>
      </c>
      <c r="B64" s="173" t="s">
        <v>564</v>
      </c>
      <c r="C64" s="175">
        <v>65</v>
      </c>
      <c r="D64" s="173" t="s">
        <v>264</v>
      </c>
      <c r="E64" s="177" t="s">
        <v>101</v>
      </c>
      <c r="F64" s="213" t="s">
        <v>1223</v>
      </c>
      <c r="G64" s="213" t="s">
        <v>1224</v>
      </c>
      <c r="H64" s="213" t="s">
        <v>73</v>
      </c>
      <c r="I64" s="213" t="s">
        <v>1236</v>
      </c>
      <c r="J64" s="213" t="s">
        <v>1019</v>
      </c>
      <c r="K64" s="214" t="s">
        <v>239</v>
      </c>
      <c r="L64" s="213" t="s">
        <v>1237</v>
      </c>
      <c r="M64" s="213" t="s">
        <v>1238</v>
      </c>
      <c r="N64" s="213"/>
      <c r="O64" s="213"/>
      <c r="P64" s="177">
        <v>8.25</v>
      </c>
      <c r="Q64" s="177">
        <v>5</v>
      </c>
      <c r="R64" s="177">
        <v>2.5</v>
      </c>
      <c r="S64" s="215" t="s">
        <v>827</v>
      </c>
      <c r="T64" s="177">
        <v>1.4</v>
      </c>
      <c r="U64" s="178">
        <v>5.9678819444444448E-2</v>
      </c>
      <c r="V64" s="216" t="s">
        <v>565</v>
      </c>
      <c r="W64" s="217">
        <v>6</v>
      </c>
      <c r="X64" s="177">
        <v>13</v>
      </c>
      <c r="Y64" s="177">
        <v>8.5</v>
      </c>
      <c r="Z64" s="177">
        <v>7.25</v>
      </c>
      <c r="AA64" s="177">
        <v>8.16</v>
      </c>
      <c r="AB64" s="178">
        <v>0.46361400462962965</v>
      </c>
      <c r="AC64" s="177">
        <v>24</v>
      </c>
      <c r="AD64" s="177">
        <v>13.5</v>
      </c>
      <c r="AE64" s="177">
        <v>18</v>
      </c>
      <c r="AF64" s="177">
        <v>15.5</v>
      </c>
      <c r="AG64" s="177">
        <v>34.64</v>
      </c>
      <c r="AM64" s="218" t="s">
        <v>987</v>
      </c>
      <c r="AN64" s="177" t="s">
        <v>988</v>
      </c>
      <c r="AO64" s="177" t="s">
        <v>989</v>
      </c>
      <c r="AQ64" s="281">
        <v>184</v>
      </c>
      <c r="AR64" s="219">
        <v>1472.0000000000002</v>
      </c>
      <c r="AS64" s="220">
        <v>28.307692307692314</v>
      </c>
      <c r="AT64" s="221">
        <v>0.15384615384615388</v>
      </c>
      <c r="AU64" s="222">
        <v>3.733076923076923</v>
      </c>
      <c r="AV64" s="189">
        <v>3</v>
      </c>
      <c r="AW64" s="223">
        <f t="shared" si="25"/>
        <v>-3</v>
      </c>
      <c r="AX64" s="177">
        <v>13</v>
      </c>
      <c r="AY64" s="177">
        <v>8.5</v>
      </c>
      <c r="AZ64" s="177">
        <f>7.25/2</f>
        <v>3.625</v>
      </c>
      <c r="BA64" s="177">
        <f>8.16/2</f>
        <v>4.08</v>
      </c>
      <c r="BG64" s="182">
        <f t="shared" si="0"/>
        <v>19.499999999999996</v>
      </c>
      <c r="BH64" s="224">
        <f t="shared" si="1"/>
        <v>1.2307692307692311</v>
      </c>
      <c r="BI64" s="182">
        <f t="shared" si="2"/>
        <v>3</v>
      </c>
      <c r="BJ64" s="182">
        <f t="shared" si="3"/>
        <v>3</v>
      </c>
      <c r="BL64" s="182"/>
      <c r="BM64" s="182"/>
      <c r="BN64" s="182"/>
      <c r="BP64" s="225">
        <f t="shared" si="4"/>
        <v>3</v>
      </c>
      <c r="BQ64" s="182">
        <f t="shared" si="5"/>
        <v>19.499999999999996</v>
      </c>
      <c r="BR64" s="173" t="s">
        <v>240</v>
      </c>
      <c r="BS64" s="226">
        <f t="shared" si="20"/>
        <v>2060.6584615384618</v>
      </c>
      <c r="BT64" s="227"/>
      <c r="BU64" s="227" t="s">
        <v>335</v>
      </c>
      <c r="BV64" s="227"/>
      <c r="BW64" s="227" t="s">
        <v>335</v>
      </c>
      <c r="BX64" s="189" t="s">
        <v>990</v>
      </c>
      <c r="BY64" s="189"/>
      <c r="CA64" s="177" t="s">
        <v>101</v>
      </c>
      <c r="CB64" s="187">
        <v>627.9</v>
      </c>
      <c r="CC64" s="186">
        <v>1472.0000000000002</v>
      </c>
      <c r="CD64" s="186">
        <v>3</v>
      </c>
      <c r="CE64" s="173">
        <v>24</v>
      </c>
      <c r="CF64" s="173">
        <f t="shared" si="21"/>
        <v>24</v>
      </c>
      <c r="CG64" s="173">
        <f t="shared" si="22"/>
        <v>8</v>
      </c>
      <c r="CK64" s="173">
        <f t="shared" si="23"/>
        <v>0</v>
      </c>
    </row>
    <row r="65" spans="1:89" ht="15" customHeight="1">
      <c r="A65" s="177" t="s">
        <v>82</v>
      </c>
      <c r="B65" s="173" t="s">
        <v>564</v>
      </c>
      <c r="C65" s="175">
        <v>137</v>
      </c>
      <c r="D65" s="173" t="s">
        <v>522</v>
      </c>
      <c r="E65" s="177" t="s">
        <v>193</v>
      </c>
      <c r="F65" s="213" t="s">
        <v>1239</v>
      </c>
      <c r="G65" s="213" t="s">
        <v>1240</v>
      </c>
      <c r="H65" s="213" t="s">
        <v>73</v>
      </c>
      <c r="I65" s="213" t="s">
        <v>1241</v>
      </c>
      <c r="J65" s="213" t="s">
        <v>1031</v>
      </c>
      <c r="K65" s="214" t="s">
        <v>211</v>
      </c>
      <c r="L65" s="213" t="s">
        <v>1242</v>
      </c>
      <c r="M65" s="213" t="s">
        <v>1243</v>
      </c>
      <c r="N65" s="213"/>
      <c r="O65" s="213"/>
      <c r="P65" s="177">
        <v>5.7</v>
      </c>
      <c r="Q65" s="177">
        <v>3.65</v>
      </c>
      <c r="R65" s="177">
        <v>0.5</v>
      </c>
      <c r="S65" s="215" t="s">
        <v>897</v>
      </c>
      <c r="T65" s="177" t="s">
        <v>327</v>
      </c>
      <c r="U65" s="178" t="s">
        <v>327</v>
      </c>
      <c r="V65" s="173" t="s">
        <v>565</v>
      </c>
      <c r="W65" s="217">
        <v>6</v>
      </c>
      <c r="X65" s="177">
        <v>6.75</v>
      </c>
      <c r="Y65" s="177">
        <v>6</v>
      </c>
      <c r="Z65" s="177">
        <v>4.0999999999999996</v>
      </c>
      <c r="AA65" s="177">
        <v>1</v>
      </c>
      <c r="AB65" s="178">
        <v>9.6093749999999992E-2</v>
      </c>
      <c r="AC65" s="177">
        <v>24</v>
      </c>
      <c r="AD65" s="177">
        <v>7.25</v>
      </c>
      <c r="AE65" s="177">
        <v>13</v>
      </c>
      <c r="AF65" s="177">
        <v>9.1999999999999993</v>
      </c>
      <c r="AG65" s="177">
        <v>6</v>
      </c>
      <c r="AM65" s="218" t="s">
        <v>987</v>
      </c>
      <c r="AN65" s="177" t="s">
        <v>988</v>
      </c>
      <c r="AO65" s="177" t="s">
        <v>989</v>
      </c>
      <c r="AQ65" s="281">
        <v>1715</v>
      </c>
      <c r="AR65" s="219">
        <v>17150</v>
      </c>
      <c r="AS65" s="220">
        <v>329.80769230769232</v>
      </c>
      <c r="AT65" s="221">
        <v>0.19230769230769232</v>
      </c>
      <c r="AU65" s="222">
        <v>0.32446153846153847</v>
      </c>
      <c r="AV65" s="189">
        <v>6</v>
      </c>
      <c r="AW65" s="223">
        <f t="shared" si="25"/>
        <v>0</v>
      </c>
      <c r="AX65" s="228">
        <v>6.75</v>
      </c>
      <c r="AY65" s="177">
        <v>6</v>
      </c>
      <c r="AZ65" s="177">
        <v>4.0999999999999996</v>
      </c>
      <c r="BA65" s="177">
        <v>1</v>
      </c>
      <c r="BG65" s="182">
        <f t="shared" si="0"/>
        <v>31.2</v>
      </c>
      <c r="BH65" s="224">
        <f t="shared" si="1"/>
        <v>1.5384615384615385</v>
      </c>
      <c r="BI65" s="182">
        <f t="shared" si="2"/>
        <v>6</v>
      </c>
      <c r="BJ65" s="182">
        <f t="shared" si="3"/>
        <v>6</v>
      </c>
      <c r="BL65" s="182"/>
      <c r="BM65" s="182"/>
      <c r="BN65" s="182"/>
      <c r="BP65" s="225">
        <f t="shared" si="4"/>
        <v>6</v>
      </c>
      <c r="BQ65" s="182">
        <f t="shared" si="5"/>
        <v>31.2</v>
      </c>
      <c r="BR65" s="173" t="s">
        <v>1003</v>
      </c>
      <c r="BS65" s="226">
        <f t="shared" si="20"/>
        <v>3338.709230769231</v>
      </c>
      <c r="BT65" s="227" t="s">
        <v>335</v>
      </c>
      <c r="BU65" s="227" t="s">
        <v>335</v>
      </c>
      <c r="BV65" s="227" t="s">
        <v>335</v>
      </c>
      <c r="BW65" s="227" t="s">
        <v>335</v>
      </c>
      <c r="BX65" s="230" t="s">
        <v>1091</v>
      </c>
      <c r="BY65" s="231" t="s">
        <v>1092</v>
      </c>
      <c r="CA65" s="177" t="s">
        <v>193</v>
      </c>
      <c r="CB65" s="187">
        <v>11833.5</v>
      </c>
      <c r="CC65" s="186">
        <v>17150</v>
      </c>
      <c r="CD65" s="186">
        <v>6</v>
      </c>
      <c r="CE65" s="173">
        <v>24</v>
      </c>
      <c r="CF65" s="173">
        <f t="shared" si="21"/>
        <v>24</v>
      </c>
      <c r="CG65" s="173">
        <f t="shared" si="22"/>
        <v>4</v>
      </c>
      <c r="CK65" s="173">
        <f t="shared" si="23"/>
        <v>0</v>
      </c>
    </row>
    <row r="66" spans="1:89" ht="15" customHeight="1">
      <c r="A66" s="177" t="s">
        <v>82</v>
      </c>
      <c r="B66" s="173" t="s">
        <v>564</v>
      </c>
      <c r="C66" s="175">
        <v>99</v>
      </c>
      <c r="D66" s="173" t="s">
        <v>506</v>
      </c>
      <c r="E66" s="177" t="s">
        <v>184</v>
      </c>
      <c r="F66" s="213" t="s">
        <v>1244</v>
      </c>
      <c r="G66" s="213" t="s">
        <v>1245</v>
      </c>
      <c r="H66" s="213" t="s">
        <v>122</v>
      </c>
      <c r="I66" s="213" t="s">
        <v>1246</v>
      </c>
      <c r="J66" s="213" t="s">
        <v>1247</v>
      </c>
      <c r="K66" s="214" t="s">
        <v>88</v>
      </c>
      <c r="L66" s="213" t="s">
        <v>1248</v>
      </c>
      <c r="M66" s="213"/>
      <c r="N66" s="213"/>
      <c r="O66" s="213"/>
      <c r="P66" s="177">
        <v>5.7</v>
      </c>
      <c r="Q66" s="177">
        <v>3.65</v>
      </c>
      <c r="R66" s="177">
        <v>3.5</v>
      </c>
      <c r="S66" s="215" t="s">
        <v>891</v>
      </c>
      <c r="T66" s="177">
        <v>0.08</v>
      </c>
      <c r="U66" s="178">
        <v>4.213975694444444E-2</v>
      </c>
      <c r="V66" s="173" t="s">
        <v>565</v>
      </c>
      <c r="W66" s="217">
        <v>6</v>
      </c>
      <c r="X66" s="177">
        <v>6.75</v>
      </c>
      <c r="Y66" s="177">
        <v>6</v>
      </c>
      <c r="Z66" s="177">
        <v>4.0999999999999996</v>
      </c>
      <c r="AA66" s="177">
        <v>1</v>
      </c>
      <c r="AB66" s="178">
        <v>9.6093749999999992E-2</v>
      </c>
      <c r="AC66" s="177">
        <v>24</v>
      </c>
      <c r="AD66" s="177">
        <v>7.25</v>
      </c>
      <c r="AE66" s="177">
        <v>13</v>
      </c>
      <c r="AF66" s="177">
        <v>9.1999999999999993</v>
      </c>
      <c r="AG66" s="177">
        <v>6</v>
      </c>
      <c r="AM66" s="218" t="s">
        <v>987</v>
      </c>
      <c r="AN66" s="177" t="s">
        <v>988</v>
      </c>
      <c r="AO66" s="177" t="s">
        <v>989</v>
      </c>
      <c r="AQ66" s="281">
        <v>1599</v>
      </c>
      <c r="AR66" s="219">
        <v>7995</v>
      </c>
      <c r="AS66" s="220">
        <v>153.75</v>
      </c>
      <c r="AT66" s="221">
        <v>9.6153846153846159E-2</v>
      </c>
      <c r="AU66" s="222">
        <v>0.34646153846153843</v>
      </c>
      <c r="AV66" s="189">
        <v>6</v>
      </c>
      <c r="AW66" s="223">
        <f t="shared" si="25"/>
        <v>0</v>
      </c>
      <c r="AX66" s="228">
        <v>6.75</v>
      </c>
      <c r="AY66" s="177">
        <v>6</v>
      </c>
      <c r="AZ66" s="177">
        <v>4.0999999999999996</v>
      </c>
      <c r="BA66" s="177">
        <v>1</v>
      </c>
      <c r="BG66" s="182">
        <f t="shared" si="0"/>
        <v>62.4</v>
      </c>
      <c r="BH66" s="224">
        <f t="shared" si="1"/>
        <v>0.76923076923076927</v>
      </c>
      <c r="BI66" s="182">
        <f t="shared" si="2"/>
        <v>6</v>
      </c>
      <c r="BJ66" s="182">
        <f t="shared" si="3"/>
        <v>6</v>
      </c>
      <c r="BL66" s="182"/>
      <c r="BM66" s="182"/>
      <c r="BN66" s="182"/>
      <c r="BP66" s="225">
        <f t="shared" si="4"/>
        <v>6</v>
      </c>
      <c r="BQ66" s="182">
        <f t="shared" si="5"/>
        <v>62.4</v>
      </c>
      <c r="BR66" s="173" t="s">
        <v>1003</v>
      </c>
      <c r="BS66" s="226">
        <f t="shared" si="20"/>
        <v>3323.9519999999998</v>
      </c>
      <c r="BT66" s="227" t="s">
        <v>335</v>
      </c>
      <c r="BU66" s="227"/>
      <c r="BV66" s="227" t="s">
        <v>335</v>
      </c>
      <c r="BW66" s="227" t="s">
        <v>335</v>
      </c>
      <c r="BX66" s="230" t="s">
        <v>1091</v>
      </c>
      <c r="BY66" s="231" t="s">
        <v>1092</v>
      </c>
      <c r="CA66" s="177" t="s">
        <v>184</v>
      </c>
      <c r="CB66" s="187">
        <v>11033.1</v>
      </c>
      <c r="CC66" s="186">
        <v>7995</v>
      </c>
      <c r="CD66" s="186">
        <v>6</v>
      </c>
      <c r="CE66" s="173">
        <v>24</v>
      </c>
      <c r="CF66" s="173">
        <f t="shared" si="21"/>
        <v>24</v>
      </c>
      <c r="CG66" s="173">
        <f t="shared" si="22"/>
        <v>4</v>
      </c>
      <c r="CK66" s="173">
        <f t="shared" si="23"/>
        <v>0</v>
      </c>
    </row>
    <row r="67" spans="1:89" ht="15" customHeight="1">
      <c r="A67" s="177" t="s">
        <v>82</v>
      </c>
      <c r="B67" s="173" t="s">
        <v>564</v>
      </c>
      <c r="C67" s="175">
        <v>128</v>
      </c>
      <c r="D67" s="173" t="s">
        <v>498</v>
      </c>
      <c r="E67" s="232" t="s">
        <v>179</v>
      </c>
      <c r="F67" s="213" t="s">
        <v>1056</v>
      </c>
      <c r="G67" s="213" t="s">
        <v>1057</v>
      </c>
      <c r="H67" s="213" t="s">
        <v>73</v>
      </c>
      <c r="I67" s="213" t="s">
        <v>1249</v>
      </c>
      <c r="J67" s="213" t="s">
        <v>1031</v>
      </c>
      <c r="K67" s="214" t="s">
        <v>499</v>
      </c>
      <c r="L67" s="213" t="s">
        <v>1250</v>
      </c>
      <c r="M67" s="213"/>
      <c r="N67" s="213"/>
      <c r="O67" s="213"/>
      <c r="P67" s="177">
        <v>5.7</v>
      </c>
      <c r="Q67" s="177">
        <v>3.65</v>
      </c>
      <c r="R67" s="177">
        <v>1.25</v>
      </c>
      <c r="S67" s="215" t="s">
        <v>888</v>
      </c>
      <c r="T67" s="177">
        <v>0.2</v>
      </c>
      <c r="U67" s="178">
        <v>1.5049913194444445E-2</v>
      </c>
      <c r="V67" s="173" t="s">
        <v>565</v>
      </c>
      <c r="W67" s="217">
        <v>3</v>
      </c>
      <c r="X67" s="177">
        <v>3.15</v>
      </c>
      <c r="Y67" s="177">
        <v>3.15</v>
      </c>
      <c r="Z67" s="177">
        <v>3.5</v>
      </c>
      <c r="AA67" s="177">
        <v>0.72</v>
      </c>
      <c r="AB67" s="178">
        <v>2.0097656249999998E-2</v>
      </c>
      <c r="AC67" s="177">
        <v>24</v>
      </c>
      <c r="AD67" s="177">
        <v>7.3</v>
      </c>
      <c r="AE67" s="177">
        <v>7.3</v>
      </c>
      <c r="AF67" s="177">
        <v>7.5</v>
      </c>
      <c r="AG67" s="177">
        <v>7.2</v>
      </c>
      <c r="AM67" s="218" t="s">
        <v>987</v>
      </c>
      <c r="AN67" s="177" t="s">
        <v>988</v>
      </c>
      <c r="AO67" s="177" t="s">
        <v>989</v>
      </c>
      <c r="AQ67" s="281">
        <v>1715</v>
      </c>
      <c r="AR67" s="219">
        <v>12005</v>
      </c>
      <c r="AS67" s="220">
        <v>230.86538461538461</v>
      </c>
      <c r="AT67" s="221">
        <v>0.13461538461538461</v>
      </c>
      <c r="AU67" s="222">
        <v>0.58461538461538465</v>
      </c>
      <c r="AV67" s="189">
        <v>6</v>
      </c>
      <c r="AW67" s="223">
        <f t="shared" si="25"/>
        <v>3</v>
      </c>
      <c r="AX67" s="177">
        <v>3.15</v>
      </c>
      <c r="AY67" s="228">
        <v>3.15</v>
      </c>
      <c r="AZ67" s="229">
        <v>7</v>
      </c>
      <c r="BA67" s="229">
        <v>1.3</v>
      </c>
      <c r="BB67" s="229"/>
      <c r="BC67" s="229"/>
      <c r="BD67" s="229"/>
      <c r="BE67" s="229"/>
      <c r="BF67" s="229"/>
      <c r="BG67" s="182">
        <f t="shared" si="0"/>
        <v>44.571428571428577</v>
      </c>
      <c r="BH67" s="224">
        <f t="shared" si="1"/>
        <v>1.0769230769230769</v>
      </c>
      <c r="BI67" s="182">
        <f t="shared" si="2"/>
        <v>6</v>
      </c>
      <c r="BJ67" s="182">
        <f t="shared" si="3"/>
        <v>6</v>
      </c>
      <c r="BL67" s="182"/>
      <c r="BM67" s="182"/>
      <c r="BN67" s="182"/>
      <c r="BP67" s="225">
        <f t="shared" si="4"/>
        <v>6</v>
      </c>
      <c r="BQ67" s="182">
        <f t="shared" si="5"/>
        <v>44.571428571428577</v>
      </c>
      <c r="BR67" s="173" t="s">
        <v>204</v>
      </c>
      <c r="BS67" s="226">
        <f t="shared" si="20"/>
        <v>6015.6923076923076</v>
      </c>
      <c r="BT67" s="227" t="s">
        <v>335</v>
      </c>
      <c r="BU67" s="227" t="s">
        <v>335</v>
      </c>
      <c r="BV67" s="227" t="s">
        <v>335</v>
      </c>
      <c r="BW67" s="227" t="s">
        <v>335</v>
      </c>
      <c r="BX67" s="230" t="s">
        <v>1181</v>
      </c>
      <c r="BY67" s="231" t="s">
        <v>1251</v>
      </c>
      <c r="CA67" s="232" t="s">
        <v>179</v>
      </c>
      <c r="CB67" s="187">
        <v>11833.5</v>
      </c>
      <c r="CC67" s="186">
        <v>12005</v>
      </c>
      <c r="CD67" s="186">
        <v>6</v>
      </c>
      <c r="CE67" s="173">
        <v>24</v>
      </c>
      <c r="CF67" s="173">
        <f t="shared" si="21"/>
        <v>24</v>
      </c>
      <c r="CG67" s="173">
        <f t="shared" si="22"/>
        <v>4</v>
      </c>
      <c r="CK67" s="173">
        <f t="shared" si="23"/>
        <v>0</v>
      </c>
    </row>
    <row r="68" spans="1:89" ht="15" customHeight="1">
      <c r="A68" s="177" t="s">
        <v>82</v>
      </c>
      <c r="B68" s="173" t="s">
        <v>564</v>
      </c>
      <c r="C68" s="175">
        <v>134</v>
      </c>
      <c r="D68" s="173" t="s">
        <v>253</v>
      </c>
      <c r="E68" s="177" t="s">
        <v>94</v>
      </c>
      <c r="F68" s="213" t="s">
        <v>1252</v>
      </c>
      <c r="G68" s="213" t="s">
        <v>1253</v>
      </c>
      <c r="H68" s="213" t="s">
        <v>73</v>
      </c>
      <c r="I68" s="213" t="s">
        <v>1254</v>
      </c>
      <c r="J68" s="213" t="s">
        <v>983</v>
      </c>
      <c r="K68" s="214" t="s">
        <v>88</v>
      </c>
      <c r="L68" s="213" t="s">
        <v>1255</v>
      </c>
      <c r="M68" s="213" t="s">
        <v>1256</v>
      </c>
      <c r="N68" s="213"/>
      <c r="O68" s="213"/>
      <c r="P68" s="177">
        <v>5.7</v>
      </c>
      <c r="Q68" s="177">
        <v>3.65</v>
      </c>
      <c r="R68" s="177">
        <v>0.3</v>
      </c>
      <c r="S68" s="215" t="s">
        <v>823</v>
      </c>
      <c r="T68" s="177">
        <v>0.1</v>
      </c>
      <c r="U68" s="178">
        <v>3.6119791666666661E-3</v>
      </c>
      <c r="V68" s="173" t="s">
        <v>565</v>
      </c>
      <c r="W68" s="217">
        <v>12</v>
      </c>
      <c r="X68" s="177">
        <v>3.3</v>
      </c>
      <c r="Y68" s="177">
        <v>4</v>
      </c>
      <c r="Z68" s="177">
        <v>5.8</v>
      </c>
      <c r="AA68" s="177">
        <v>0.8</v>
      </c>
      <c r="AB68" s="178">
        <v>4.4305555555555549E-2</v>
      </c>
      <c r="AC68" s="177">
        <v>48</v>
      </c>
      <c r="AD68" s="177">
        <v>7.6</v>
      </c>
      <c r="AE68" s="177">
        <v>9</v>
      </c>
      <c r="AF68" s="177">
        <v>6.3</v>
      </c>
      <c r="AG68" s="177">
        <v>6</v>
      </c>
      <c r="AM68" s="218" t="s">
        <v>987</v>
      </c>
      <c r="AN68" s="177" t="s">
        <v>988</v>
      </c>
      <c r="AO68" s="177" t="s">
        <v>989</v>
      </c>
      <c r="AQ68" s="281">
        <v>1715</v>
      </c>
      <c r="AR68" s="219">
        <v>17150</v>
      </c>
      <c r="AS68" s="220">
        <v>329.80769230769232</v>
      </c>
      <c r="AT68" s="221">
        <v>0.19230769230769232</v>
      </c>
      <c r="AU68" s="222">
        <v>0.32307692307692304</v>
      </c>
      <c r="AV68" s="189">
        <v>15</v>
      </c>
      <c r="AW68" s="223">
        <f t="shared" si="25"/>
        <v>3</v>
      </c>
      <c r="AX68" s="177">
        <v>3.3</v>
      </c>
      <c r="AY68" s="228">
        <v>4</v>
      </c>
      <c r="AZ68" s="228">
        <v>5.8</v>
      </c>
      <c r="BA68" s="229">
        <v>1</v>
      </c>
      <c r="BB68" s="229"/>
      <c r="BC68" s="229"/>
      <c r="BD68" s="229"/>
      <c r="BE68" s="229"/>
      <c r="BF68" s="229"/>
      <c r="BG68" s="182">
        <f t="shared" ref="BG68:BG131" si="26">IFERROR(AV68/AT68,"")</f>
        <v>78</v>
      </c>
      <c r="BH68" s="224">
        <f t="shared" ref="BH68:BH131" si="27">IFERROR(IF(AM68="WEX",0,IF(OR(AN68="1XD"),10*AT68,8*AT68)),"")</f>
        <v>1.5384615384615385</v>
      </c>
      <c r="BI68" s="182">
        <f t="shared" ref="BI68:BI131" si="28">IF(AM68="WEX",0,IF(AV68&lt;=2,2,AV68))</f>
        <v>15</v>
      </c>
      <c r="BJ68" s="182">
        <f t="shared" ref="BJ68:BJ131" si="29">IFERROR(MAX(BH68,BI68),"")</f>
        <v>15</v>
      </c>
      <c r="BL68" s="182"/>
      <c r="BM68" s="182"/>
      <c r="BN68" s="182"/>
      <c r="BP68" s="225">
        <f t="shared" ref="BP68:BP131" si="30">IFERROR(IF(ISNA(BK68),BJ68,IF(BK68&gt;=0,BK68+BJ68,BJ68+IF(SUM(BL68:BN68)&gt;0,(MAX(BL68,BM68,BN68)-1),0)+BO68)),"")</f>
        <v>15</v>
      </c>
      <c r="BQ68" s="182">
        <f t="shared" ref="BQ68:BQ131" si="31">IFERROR(BP68/AT68,"")</f>
        <v>78</v>
      </c>
      <c r="BR68" s="173" t="s">
        <v>248</v>
      </c>
      <c r="BS68" s="226">
        <f t="shared" si="20"/>
        <v>8311.1538461538457</v>
      </c>
      <c r="BT68" s="227" t="s">
        <v>335</v>
      </c>
      <c r="BU68" s="227" t="s">
        <v>335</v>
      </c>
      <c r="BV68" s="227" t="s">
        <v>335</v>
      </c>
      <c r="BW68" s="227" t="s">
        <v>335</v>
      </c>
      <c r="BX68" s="230" t="s">
        <v>1181</v>
      </c>
      <c r="BY68" s="231" t="s">
        <v>1257</v>
      </c>
      <c r="CA68" s="177" t="s">
        <v>94</v>
      </c>
      <c r="CB68" s="187">
        <v>29583.75</v>
      </c>
      <c r="CC68" s="186">
        <v>17150</v>
      </c>
      <c r="CD68" s="186">
        <v>15</v>
      </c>
      <c r="CE68" s="173">
        <v>48</v>
      </c>
      <c r="CF68" s="173">
        <v>60</v>
      </c>
      <c r="CG68" s="173">
        <f t="shared" si="22"/>
        <v>3.2</v>
      </c>
      <c r="CK68" s="173">
        <f t="shared" si="23"/>
        <v>0</v>
      </c>
    </row>
    <row r="69" spans="1:89" ht="15" customHeight="1">
      <c r="A69" s="177" t="s">
        <v>82</v>
      </c>
      <c r="B69" s="173" t="s">
        <v>564</v>
      </c>
      <c r="C69" s="175">
        <v>127</v>
      </c>
      <c r="D69" s="173" t="s">
        <v>605</v>
      </c>
      <c r="E69" s="232" t="s">
        <v>167</v>
      </c>
      <c r="F69" s="213" t="s">
        <v>1056</v>
      </c>
      <c r="G69" s="213" t="s">
        <v>1057</v>
      </c>
      <c r="H69" s="213" t="s">
        <v>73</v>
      </c>
      <c r="I69" s="213" t="s">
        <v>1258</v>
      </c>
      <c r="J69" s="213" t="s">
        <v>1031</v>
      </c>
      <c r="K69" s="214" t="s">
        <v>211</v>
      </c>
      <c r="L69" s="213" t="s">
        <v>1259</v>
      </c>
      <c r="M69" s="213" t="s">
        <v>1260</v>
      </c>
      <c r="N69" s="213"/>
      <c r="O69" s="213"/>
      <c r="P69" s="177">
        <v>4.375</v>
      </c>
      <c r="Q69" s="177">
        <v>3.65</v>
      </c>
      <c r="R69" s="177">
        <v>1.35</v>
      </c>
      <c r="S69" s="215" t="s">
        <v>873</v>
      </c>
      <c r="T69" s="177">
        <v>0.03</v>
      </c>
      <c r="U69" s="178">
        <v>1.24755859375E-2</v>
      </c>
      <c r="V69" s="173" t="s">
        <v>565</v>
      </c>
      <c r="W69" s="217">
        <v>3</v>
      </c>
      <c r="X69" s="177">
        <v>4.5</v>
      </c>
      <c r="Y69" s="177">
        <v>2.62</v>
      </c>
      <c r="Z69" s="177">
        <v>2.78</v>
      </c>
      <c r="AA69" s="177">
        <v>0.54</v>
      </c>
      <c r="AB69" s="178">
        <v>1.8967708333333336E-2</v>
      </c>
      <c r="AC69" s="177">
        <v>24</v>
      </c>
      <c r="AD69" s="177">
        <v>10</v>
      </c>
      <c r="AE69" s="177">
        <v>6.24</v>
      </c>
      <c r="AF69" s="177">
        <v>5.7</v>
      </c>
      <c r="AG69" s="177">
        <v>6.4</v>
      </c>
      <c r="AM69" s="218" t="s">
        <v>987</v>
      </c>
      <c r="AN69" s="177" t="s">
        <v>988</v>
      </c>
      <c r="AO69" s="177" t="s">
        <v>989</v>
      </c>
      <c r="AQ69" s="281">
        <v>1715</v>
      </c>
      <c r="AR69" s="219">
        <v>13720.000000000002</v>
      </c>
      <c r="AS69" s="220">
        <v>263.84615384615387</v>
      </c>
      <c r="AT69" s="221">
        <v>0.15384615384615385</v>
      </c>
      <c r="AU69" s="222">
        <v>0.49230769230769228</v>
      </c>
      <c r="AV69" s="189">
        <v>6</v>
      </c>
      <c r="AW69" s="223">
        <f t="shared" si="25"/>
        <v>3</v>
      </c>
      <c r="AX69" s="228">
        <v>4.5</v>
      </c>
      <c r="AY69" s="229">
        <v>2.62</v>
      </c>
      <c r="AZ69" s="228">
        <v>5.2</v>
      </c>
      <c r="BA69" s="229">
        <v>1.1000000000000001</v>
      </c>
      <c r="BB69" s="229"/>
      <c r="BC69" s="229"/>
      <c r="BD69" s="229"/>
      <c r="BE69" s="229"/>
      <c r="BF69" s="229"/>
      <c r="BG69" s="182">
        <f t="shared" si="26"/>
        <v>39</v>
      </c>
      <c r="BH69" s="224">
        <f t="shared" si="27"/>
        <v>1.2307692307692308</v>
      </c>
      <c r="BI69" s="182">
        <f t="shared" si="28"/>
        <v>6</v>
      </c>
      <c r="BJ69" s="182">
        <f t="shared" si="29"/>
        <v>6</v>
      </c>
      <c r="BL69" s="182"/>
      <c r="BM69" s="182"/>
      <c r="BN69" s="182"/>
      <c r="BP69" s="225">
        <f t="shared" si="30"/>
        <v>6</v>
      </c>
      <c r="BQ69" s="182">
        <f t="shared" si="31"/>
        <v>39</v>
      </c>
      <c r="BR69" s="173" t="s">
        <v>204</v>
      </c>
      <c r="BS69" s="226">
        <f t="shared" si="20"/>
        <v>5065.8461538461534</v>
      </c>
      <c r="BT69" s="227" t="s">
        <v>335</v>
      </c>
      <c r="BU69" s="227" t="s">
        <v>335</v>
      </c>
      <c r="BV69" s="227" t="s">
        <v>335</v>
      </c>
      <c r="BW69" s="227" t="s">
        <v>335</v>
      </c>
      <c r="BX69" s="230" t="s">
        <v>1091</v>
      </c>
      <c r="BY69" s="231" t="s">
        <v>1261</v>
      </c>
      <c r="CA69" s="232" t="s">
        <v>167</v>
      </c>
      <c r="CB69" s="187">
        <v>11833.5</v>
      </c>
      <c r="CC69" s="186">
        <v>13720.000000000002</v>
      </c>
      <c r="CD69" s="186">
        <v>6</v>
      </c>
      <c r="CE69" s="173">
        <v>24</v>
      </c>
      <c r="CF69" s="173">
        <f t="shared" si="21"/>
        <v>24</v>
      </c>
      <c r="CG69" s="173">
        <f t="shared" si="22"/>
        <v>4</v>
      </c>
      <c r="CK69" s="173">
        <f t="shared" si="23"/>
        <v>0</v>
      </c>
    </row>
    <row r="70" spans="1:89" ht="15" customHeight="1">
      <c r="A70" s="177" t="s">
        <v>82</v>
      </c>
      <c r="B70" s="173" t="s">
        <v>564</v>
      </c>
      <c r="C70" s="175">
        <v>126</v>
      </c>
      <c r="D70" s="173" t="s">
        <v>606</v>
      </c>
      <c r="E70" s="232" t="s">
        <v>79</v>
      </c>
      <c r="F70" s="213" t="s">
        <v>1056</v>
      </c>
      <c r="G70" s="213" t="s">
        <v>1057</v>
      </c>
      <c r="H70" s="213" t="s">
        <v>73</v>
      </c>
      <c r="I70" s="213" t="s">
        <v>1262</v>
      </c>
      <c r="J70" s="213" t="s">
        <v>1031</v>
      </c>
      <c r="K70" s="214" t="s">
        <v>211</v>
      </c>
      <c r="L70" s="213" t="s">
        <v>1263</v>
      </c>
      <c r="M70" s="213" t="s">
        <v>1264</v>
      </c>
      <c r="N70" s="213"/>
      <c r="O70" s="213"/>
      <c r="P70" s="177">
        <v>4.375</v>
      </c>
      <c r="Q70" s="177">
        <v>3.65</v>
      </c>
      <c r="R70" s="177">
        <v>1.38</v>
      </c>
      <c r="S70" s="215" t="s">
        <v>813</v>
      </c>
      <c r="T70" s="177">
        <v>0.04</v>
      </c>
      <c r="U70" s="178">
        <v>1.2752821180555554E-2</v>
      </c>
      <c r="V70" s="173" t="s">
        <v>565</v>
      </c>
      <c r="W70" s="217">
        <v>3</v>
      </c>
      <c r="X70" s="177">
        <v>4.5</v>
      </c>
      <c r="Y70" s="177">
        <v>2.62</v>
      </c>
      <c r="Z70" s="177">
        <v>2.78</v>
      </c>
      <c r="AA70" s="177">
        <v>0.54</v>
      </c>
      <c r="AB70" s="178">
        <v>1.8967708333333336E-2</v>
      </c>
      <c r="AC70" s="177">
        <v>24</v>
      </c>
      <c r="AD70" s="177">
        <v>10</v>
      </c>
      <c r="AE70" s="177">
        <v>6.24</v>
      </c>
      <c r="AF70" s="177">
        <v>5.7</v>
      </c>
      <c r="AG70" s="177">
        <v>6.4</v>
      </c>
      <c r="AM70" s="218" t="s">
        <v>987</v>
      </c>
      <c r="AN70" s="177" t="s">
        <v>988</v>
      </c>
      <c r="AO70" s="177" t="s">
        <v>989</v>
      </c>
      <c r="AQ70" s="281">
        <v>1715</v>
      </c>
      <c r="AR70" s="219">
        <v>10290</v>
      </c>
      <c r="AS70" s="220">
        <v>197.88461538461539</v>
      </c>
      <c r="AT70" s="221">
        <v>0.11538461538461539</v>
      </c>
      <c r="AU70" s="222">
        <v>0.49230769230769228</v>
      </c>
      <c r="AV70" s="189">
        <v>6</v>
      </c>
      <c r="AW70" s="223">
        <f t="shared" si="25"/>
        <v>3</v>
      </c>
      <c r="AX70" s="228">
        <v>4.5</v>
      </c>
      <c r="AY70" s="229">
        <v>2.62</v>
      </c>
      <c r="AZ70" s="228">
        <v>5.2</v>
      </c>
      <c r="BA70" s="229">
        <v>1.1000000000000001</v>
      </c>
      <c r="BB70" s="229"/>
      <c r="BC70" s="229"/>
      <c r="BD70" s="229"/>
      <c r="BE70" s="229"/>
      <c r="BF70" s="229"/>
      <c r="BG70" s="182">
        <f t="shared" si="26"/>
        <v>52</v>
      </c>
      <c r="BH70" s="224">
        <f t="shared" si="27"/>
        <v>0.92307692307692313</v>
      </c>
      <c r="BI70" s="182">
        <f t="shared" si="28"/>
        <v>6</v>
      </c>
      <c r="BJ70" s="182">
        <f t="shared" si="29"/>
        <v>6</v>
      </c>
      <c r="BL70" s="182"/>
      <c r="BM70" s="182"/>
      <c r="BN70" s="182"/>
      <c r="BP70" s="225">
        <f t="shared" si="30"/>
        <v>6</v>
      </c>
      <c r="BQ70" s="182">
        <f t="shared" si="31"/>
        <v>52</v>
      </c>
      <c r="BR70" s="173" t="s">
        <v>204</v>
      </c>
      <c r="BS70" s="226">
        <f t="shared" si="20"/>
        <v>5065.8461538461534</v>
      </c>
      <c r="BT70" s="227" t="s">
        <v>335</v>
      </c>
      <c r="BU70" s="227" t="s">
        <v>335</v>
      </c>
      <c r="BV70" s="227" t="s">
        <v>335</v>
      </c>
      <c r="BW70" s="227" t="s">
        <v>335</v>
      </c>
      <c r="BX70" s="230" t="s">
        <v>1091</v>
      </c>
      <c r="BY70" s="231" t="s">
        <v>1261</v>
      </c>
      <c r="CA70" s="232" t="s">
        <v>79</v>
      </c>
      <c r="CB70" s="187">
        <v>11833.5</v>
      </c>
      <c r="CC70" s="186">
        <v>10290</v>
      </c>
      <c r="CD70" s="186">
        <v>6</v>
      </c>
      <c r="CE70" s="173">
        <v>24</v>
      </c>
      <c r="CF70" s="173">
        <f t="shared" si="21"/>
        <v>24</v>
      </c>
      <c r="CG70" s="173">
        <f t="shared" si="22"/>
        <v>4</v>
      </c>
      <c r="CK70" s="173">
        <f t="shared" si="23"/>
        <v>0</v>
      </c>
    </row>
    <row r="71" spans="1:89" ht="14.25" customHeight="1">
      <c r="A71" s="177" t="s">
        <v>82</v>
      </c>
      <c r="B71" s="173" t="s">
        <v>564</v>
      </c>
      <c r="C71" s="175">
        <v>80</v>
      </c>
      <c r="D71" s="173" t="s">
        <v>607</v>
      </c>
      <c r="E71" s="177" t="s">
        <v>169</v>
      </c>
      <c r="F71" s="213" t="s">
        <v>1056</v>
      </c>
      <c r="G71" s="213" t="s">
        <v>1057</v>
      </c>
      <c r="H71" s="213" t="s">
        <v>73</v>
      </c>
      <c r="I71" s="213" t="s">
        <v>1262</v>
      </c>
      <c r="J71" s="213" t="s">
        <v>1216</v>
      </c>
      <c r="K71" s="214" t="s">
        <v>211</v>
      </c>
      <c r="L71" s="213" t="s">
        <v>1265</v>
      </c>
      <c r="M71" s="213" t="s">
        <v>1266</v>
      </c>
      <c r="N71" s="213" t="s">
        <v>1267</v>
      </c>
      <c r="O71" s="213"/>
      <c r="P71" s="177">
        <v>4.375</v>
      </c>
      <c r="Q71" s="177">
        <v>3.65</v>
      </c>
      <c r="R71" s="177">
        <v>1.35</v>
      </c>
      <c r="S71" s="215" t="s">
        <v>875</v>
      </c>
      <c r="T71" s="177">
        <v>0.03</v>
      </c>
      <c r="U71" s="178">
        <v>1.24755859375E-2</v>
      </c>
      <c r="V71" s="173" t="s">
        <v>565</v>
      </c>
      <c r="W71" s="217">
        <v>3</v>
      </c>
      <c r="X71" s="177">
        <v>4.5</v>
      </c>
      <c r="Y71" s="177">
        <v>2.62</v>
      </c>
      <c r="Z71" s="177">
        <v>2.78</v>
      </c>
      <c r="AA71" s="177">
        <v>0.54</v>
      </c>
      <c r="AB71" s="178">
        <v>1.8967708333333336E-2</v>
      </c>
      <c r="AC71" s="177">
        <v>24</v>
      </c>
      <c r="AD71" s="177">
        <v>10</v>
      </c>
      <c r="AE71" s="177">
        <v>6.24</v>
      </c>
      <c r="AF71" s="177">
        <v>5.7</v>
      </c>
      <c r="AG71" s="177">
        <v>6.4</v>
      </c>
      <c r="AM71" s="218" t="s">
        <v>987</v>
      </c>
      <c r="AN71" s="177" t="s">
        <v>988</v>
      </c>
      <c r="AO71" s="177" t="s">
        <v>989</v>
      </c>
      <c r="AQ71" s="281">
        <v>1503</v>
      </c>
      <c r="AR71" s="219">
        <v>9018</v>
      </c>
      <c r="AS71" s="220">
        <v>173.42307692307693</v>
      </c>
      <c r="AT71" s="221">
        <v>0.11538461538461539</v>
      </c>
      <c r="AU71" s="222">
        <v>0.49230769230769228</v>
      </c>
      <c r="AV71" s="189">
        <v>6</v>
      </c>
      <c r="AW71" s="223">
        <f t="shared" si="25"/>
        <v>3</v>
      </c>
      <c r="AX71" s="228">
        <v>4.5</v>
      </c>
      <c r="AY71" s="229">
        <v>2.62</v>
      </c>
      <c r="AZ71" s="228">
        <v>5.2</v>
      </c>
      <c r="BA71" s="229">
        <v>1.1000000000000001</v>
      </c>
      <c r="BB71" s="229"/>
      <c r="BC71" s="229"/>
      <c r="BD71" s="229"/>
      <c r="BE71" s="229"/>
      <c r="BF71" s="229"/>
      <c r="BG71" s="182">
        <f t="shared" si="26"/>
        <v>52</v>
      </c>
      <c r="BH71" s="224">
        <f t="shared" si="27"/>
        <v>0.92307692307692313</v>
      </c>
      <c r="BI71" s="182">
        <f t="shared" si="28"/>
        <v>6</v>
      </c>
      <c r="BJ71" s="182">
        <f t="shared" si="29"/>
        <v>6</v>
      </c>
      <c r="BL71" s="182"/>
      <c r="BM71" s="182"/>
      <c r="BN71" s="182"/>
      <c r="BP71" s="225">
        <f t="shared" si="30"/>
        <v>6</v>
      </c>
      <c r="BQ71" s="182">
        <f t="shared" si="31"/>
        <v>52</v>
      </c>
      <c r="BR71" s="173" t="s">
        <v>204</v>
      </c>
      <c r="BS71" s="226">
        <f t="shared" si="20"/>
        <v>4439.6307692307691</v>
      </c>
      <c r="BT71" s="227" t="s">
        <v>335</v>
      </c>
      <c r="BU71" s="227"/>
      <c r="BV71" s="227"/>
      <c r="BW71" s="227" t="s">
        <v>335</v>
      </c>
      <c r="BX71" s="230" t="s">
        <v>1091</v>
      </c>
      <c r="BY71" s="231" t="s">
        <v>1261</v>
      </c>
      <c r="CA71" s="177" t="s">
        <v>169</v>
      </c>
      <c r="CB71" s="187">
        <v>10370.700000000001</v>
      </c>
      <c r="CC71" s="186">
        <v>9018</v>
      </c>
      <c r="CD71" s="186">
        <v>6</v>
      </c>
      <c r="CE71" s="173">
        <v>24</v>
      </c>
      <c r="CF71" s="173">
        <f t="shared" si="21"/>
        <v>24</v>
      </c>
      <c r="CG71" s="173">
        <f t="shared" si="22"/>
        <v>4</v>
      </c>
      <c r="CK71" s="173">
        <f t="shared" si="23"/>
        <v>0</v>
      </c>
    </row>
    <row r="72" spans="1:89" ht="15" hidden="1" customHeight="1">
      <c r="A72" s="177" t="s">
        <v>82</v>
      </c>
      <c r="B72" s="173" t="s">
        <v>564</v>
      </c>
      <c r="C72" s="175">
        <v>78</v>
      </c>
      <c r="D72" s="173" t="s">
        <v>609</v>
      </c>
      <c r="E72" s="177" t="s">
        <v>329</v>
      </c>
      <c r="F72" s="213" t="s">
        <v>1040</v>
      </c>
      <c r="G72" s="213" t="s">
        <v>1041</v>
      </c>
      <c r="H72" s="213"/>
      <c r="I72" s="213" t="s">
        <v>1268</v>
      </c>
      <c r="J72" s="213" t="s">
        <v>983</v>
      </c>
      <c r="K72" s="214" t="s">
        <v>272</v>
      </c>
      <c r="L72" s="213" t="s">
        <v>1269</v>
      </c>
      <c r="M72" s="213" t="s">
        <v>1270</v>
      </c>
      <c r="N72" s="213"/>
      <c r="O72" s="213"/>
      <c r="P72" s="177">
        <v>6.5</v>
      </c>
      <c r="Q72" s="177">
        <v>6.25</v>
      </c>
      <c r="R72" s="177">
        <v>4.5</v>
      </c>
      <c r="S72" s="215">
        <v>730007000115</v>
      </c>
      <c r="T72" s="177">
        <v>1.5</v>
      </c>
      <c r="U72" s="178">
        <v>0.10579427083333333</v>
      </c>
      <c r="V72" s="173" t="s">
        <v>572</v>
      </c>
      <c r="W72" s="177" t="s">
        <v>335</v>
      </c>
      <c r="X72" s="177" t="s">
        <v>335</v>
      </c>
      <c r="Y72" s="177" t="s">
        <v>335</v>
      </c>
      <c r="Z72" s="177" t="s">
        <v>335</v>
      </c>
      <c r="AA72" s="177" t="s">
        <v>335</v>
      </c>
      <c r="AB72" s="178" t="e">
        <v>#VALUE!</v>
      </c>
      <c r="AC72" s="217">
        <v>12</v>
      </c>
      <c r="AM72" s="218" t="s">
        <v>987</v>
      </c>
      <c r="AN72" s="177" t="s">
        <v>988</v>
      </c>
      <c r="AO72" s="177" t="s">
        <v>989</v>
      </c>
      <c r="AQ72" s="281">
        <v>68</v>
      </c>
      <c r="AR72" s="219">
        <v>408</v>
      </c>
      <c r="AS72" s="220">
        <v>7.8461538461538458</v>
      </c>
      <c r="AT72" s="221">
        <v>0.11538461538461538</v>
      </c>
      <c r="AU72" s="222">
        <v>7.15</v>
      </c>
      <c r="AV72" s="189">
        <v>6</v>
      </c>
      <c r="AW72" s="223">
        <f>AV72-AC72</f>
        <v>-6</v>
      </c>
      <c r="AX72" s="177">
        <v>14.75</v>
      </c>
      <c r="AY72" s="177">
        <v>13.5</v>
      </c>
      <c r="AZ72" s="177">
        <f>10.25/2</f>
        <v>5.125</v>
      </c>
      <c r="BA72" s="177">
        <f>11.4/2</f>
        <v>5.7</v>
      </c>
      <c r="BG72" s="182">
        <f t="shared" si="26"/>
        <v>52</v>
      </c>
      <c r="BH72" s="224">
        <f t="shared" si="27"/>
        <v>0.92307692307692302</v>
      </c>
      <c r="BI72" s="182">
        <f t="shared" si="28"/>
        <v>6</v>
      </c>
      <c r="BJ72" s="182">
        <f t="shared" si="29"/>
        <v>6</v>
      </c>
      <c r="BL72" s="182"/>
      <c r="BM72" s="182"/>
      <c r="BN72" s="182"/>
      <c r="BP72" s="225">
        <f t="shared" si="30"/>
        <v>6</v>
      </c>
      <c r="BQ72" s="182">
        <f t="shared" si="31"/>
        <v>52</v>
      </c>
      <c r="BR72" s="173" t="s">
        <v>1271</v>
      </c>
      <c r="BS72" s="226">
        <f t="shared" si="20"/>
        <v>2917.2000000000003</v>
      </c>
      <c r="BT72" s="227"/>
      <c r="BU72" s="227"/>
      <c r="BV72" s="227"/>
      <c r="BW72" s="227" t="s">
        <v>335</v>
      </c>
      <c r="BX72" s="189" t="s">
        <v>990</v>
      </c>
      <c r="BY72" s="189"/>
      <c r="CA72" s="177" t="s">
        <v>329</v>
      </c>
      <c r="CB72" s="187" t="e">
        <v>#N/A</v>
      </c>
      <c r="CC72" s="186" t="e">
        <v>#N/A</v>
      </c>
      <c r="CD72" s="186" t="e">
        <v>#N/A</v>
      </c>
      <c r="CE72" s="173" t="e">
        <v>#N/A</v>
      </c>
    </row>
    <row r="73" spans="1:89" ht="15" customHeight="1">
      <c r="A73" s="177" t="s">
        <v>82</v>
      </c>
      <c r="B73" s="173" t="s">
        <v>564</v>
      </c>
      <c r="C73" s="175">
        <v>68</v>
      </c>
      <c r="D73" s="173" t="s">
        <v>303</v>
      </c>
      <c r="E73" s="177" t="s">
        <v>118</v>
      </c>
      <c r="F73" s="213" t="s">
        <v>1272</v>
      </c>
      <c r="G73" s="213" t="s">
        <v>1273</v>
      </c>
      <c r="H73" s="213" t="s">
        <v>73</v>
      </c>
      <c r="I73" s="213" t="s">
        <v>1274</v>
      </c>
      <c r="J73" s="213" t="s">
        <v>1275</v>
      </c>
      <c r="K73" s="214" t="s">
        <v>88</v>
      </c>
      <c r="L73" s="213" t="s">
        <v>1276</v>
      </c>
      <c r="M73" s="213" t="s">
        <v>1277</v>
      </c>
      <c r="N73" s="213"/>
      <c r="O73" s="213"/>
      <c r="P73" s="177">
        <v>5.7</v>
      </c>
      <c r="Q73" s="177">
        <v>3.65</v>
      </c>
      <c r="R73" s="177">
        <v>1.77</v>
      </c>
      <c r="S73" s="215">
        <v>730007000511</v>
      </c>
      <c r="T73" s="177">
        <v>0.18</v>
      </c>
      <c r="U73" s="178">
        <v>2.1310677083333333E-2</v>
      </c>
      <c r="V73" s="173" t="s">
        <v>565</v>
      </c>
      <c r="W73" s="217">
        <v>6</v>
      </c>
      <c r="X73" s="177">
        <v>4.75</v>
      </c>
      <c r="Y73" s="177">
        <v>11.25</v>
      </c>
      <c r="Z73" s="177">
        <v>5.25</v>
      </c>
      <c r="AA73" s="177">
        <v>2.19</v>
      </c>
      <c r="AB73" s="178">
        <v>0.162353515625</v>
      </c>
      <c r="AC73" s="177">
        <v>48</v>
      </c>
      <c r="AD73" s="177">
        <v>20</v>
      </c>
      <c r="AE73" s="177">
        <v>11.75</v>
      </c>
      <c r="AF73" s="177">
        <v>11.5</v>
      </c>
      <c r="AG73" s="177">
        <v>19.52</v>
      </c>
      <c r="AM73" s="218" t="s">
        <v>987</v>
      </c>
      <c r="AN73" s="177" t="s">
        <v>988</v>
      </c>
      <c r="AO73" s="177" t="s">
        <v>989</v>
      </c>
      <c r="AQ73" s="281">
        <v>184</v>
      </c>
      <c r="AR73" s="219">
        <v>920</v>
      </c>
      <c r="AS73" s="220">
        <v>17.692307692307693</v>
      </c>
      <c r="AT73" s="221">
        <v>9.6153846153846159E-2</v>
      </c>
      <c r="AU73" s="222">
        <v>2.0923076923076924</v>
      </c>
      <c r="AV73" s="189">
        <v>6</v>
      </c>
      <c r="AW73" s="223">
        <f t="shared" ref="AW73:AW78" si="32">AV73-W73</f>
        <v>0</v>
      </c>
      <c r="AX73" s="177">
        <v>4.75</v>
      </c>
      <c r="AY73" s="177">
        <v>11.25</v>
      </c>
      <c r="AZ73" s="177">
        <v>5.25</v>
      </c>
      <c r="BA73" s="177">
        <v>2.19</v>
      </c>
      <c r="BG73" s="182">
        <f t="shared" si="26"/>
        <v>62.4</v>
      </c>
      <c r="BH73" s="224">
        <f t="shared" si="27"/>
        <v>0.76923076923076927</v>
      </c>
      <c r="BI73" s="182">
        <f t="shared" si="28"/>
        <v>6</v>
      </c>
      <c r="BJ73" s="182">
        <f t="shared" si="29"/>
        <v>6</v>
      </c>
      <c r="BL73" s="182"/>
      <c r="BM73" s="182"/>
      <c r="BN73" s="182"/>
      <c r="BP73" s="225">
        <f t="shared" si="30"/>
        <v>6</v>
      </c>
      <c r="BQ73" s="182">
        <f t="shared" si="31"/>
        <v>62.4</v>
      </c>
      <c r="BR73" s="173" t="s">
        <v>248</v>
      </c>
      <c r="BS73" s="226">
        <f t="shared" si="20"/>
        <v>2309.9076923076927</v>
      </c>
      <c r="BT73" s="227"/>
      <c r="BU73" s="227" t="s">
        <v>335</v>
      </c>
      <c r="BV73" s="227"/>
      <c r="BW73" s="227" t="s">
        <v>335</v>
      </c>
      <c r="BX73" s="189" t="s">
        <v>1014</v>
      </c>
      <c r="BY73" s="189"/>
      <c r="CA73" s="177" t="s">
        <v>118</v>
      </c>
      <c r="CB73" s="187">
        <v>1269.5999999999999</v>
      </c>
      <c r="CC73" s="186">
        <v>920</v>
      </c>
      <c r="CD73" s="186">
        <v>6</v>
      </c>
      <c r="CE73" s="173">
        <v>48</v>
      </c>
      <c r="CF73" s="173">
        <f t="shared" ref="CF73:CF74" si="33">CE73</f>
        <v>48</v>
      </c>
      <c r="CG73" s="173">
        <f t="shared" ref="CG73:CG74" si="34">CE73/CD73</f>
        <v>8</v>
      </c>
      <c r="CK73" s="173">
        <f t="shared" ref="CK73:CK74" si="35">CD73-AV73</f>
        <v>0</v>
      </c>
    </row>
    <row r="74" spans="1:89" ht="15" customHeight="1">
      <c r="A74" s="177" t="s">
        <v>82</v>
      </c>
      <c r="B74" s="173" t="s">
        <v>564</v>
      </c>
      <c r="C74" s="175">
        <v>62</v>
      </c>
      <c r="D74" s="173" t="s">
        <v>415</v>
      </c>
      <c r="E74" s="177" t="s">
        <v>160</v>
      </c>
      <c r="F74" s="213" t="s">
        <v>1193</v>
      </c>
      <c r="G74" s="213" t="s">
        <v>1194</v>
      </c>
      <c r="H74" s="213" t="s">
        <v>122</v>
      </c>
      <c r="I74" s="213" t="s">
        <v>1278</v>
      </c>
      <c r="J74" s="213" t="s">
        <v>1031</v>
      </c>
      <c r="K74" s="214" t="s">
        <v>88</v>
      </c>
      <c r="L74" s="213" t="s">
        <v>1279</v>
      </c>
      <c r="M74" s="213" t="s">
        <v>1280</v>
      </c>
      <c r="N74" s="213"/>
      <c r="O74" s="213"/>
      <c r="P74" s="177">
        <v>5.7</v>
      </c>
      <c r="Q74" s="177">
        <v>3.65</v>
      </c>
      <c r="R74" s="177">
        <v>1.5</v>
      </c>
      <c r="S74" s="215" t="s">
        <v>868</v>
      </c>
      <c r="T74" s="177">
        <v>0.4</v>
      </c>
      <c r="U74" s="178">
        <v>1.8059895833333332E-2</v>
      </c>
      <c r="V74" s="173" t="s">
        <v>565</v>
      </c>
      <c r="W74" s="217">
        <v>4</v>
      </c>
      <c r="X74" s="177">
        <v>6.75</v>
      </c>
      <c r="Y74" s="177">
        <v>6</v>
      </c>
      <c r="Z74" s="177">
        <v>4.0999999999999996</v>
      </c>
      <c r="AA74" s="177">
        <v>1</v>
      </c>
      <c r="AB74" s="178">
        <v>9.6093749999999992E-2</v>
      </c>
      <c r="AC74" s="177">
        <v>16</v>
      </c>
      <c r="AD74" s="177">
        <v>7.25</v>
      </c>
      <c r="AE74" s="177">
        <v>13</v>
      </c>
      <c r="AF74" s="177">
        <v>9.1999999999999993</v>
      </c>
      <c r="AG74" s="177">
        <v>6</v>
      </c>
      <c r="AM74" s="218" t="s">
        <v>987</v>
      </c>
      <c r="AN74" s="177" t="s">
        <v>988</v>
      </c>
      <c r="AO74" s="177" t="s">
        <v>989</v>
      </c>
      <c r="AQ74" s="281">
        <v>184</v>
      </c>
      <c r="AR74" s="219">
        <v>920</v>
      </c>
      <c r="AS74" s="220">
        <v>17.692307692307693</v>
      </c>
      <c r="AT74" s="221">
        <v>9.6153846153846159E-2</v>
      </c>
      <c r="AU74" s="222">
        <v>3.2170769230769229</v>
      </c>
      <c r="AV74" s="189">
        <v>4</v>
      </c>
      <c r="AW74" s="223">
        <f t="shared" si="32"/>
        <v>0</v>
      </c>
      <c r="AX74" s="228">
        <v>6.75</v>
      </c>
      <c r="AY74" s="177">
        <v>6</v>
      </c>
      <c r="AZ74" s="177">
        <v>4.0999999999999996</v>
      </c>
      <c r="BA74" s="177">
        <v>1</v>
      </c>
      <c r="BG74" s="182">
        <f t="shared" si="26"/>
        <v>41.599999999999994</v>
      </c>
      <c r="BH74" s="224">
        <f t="shared" si="27"/>
        <v>0.76923076923076927</v>
      </c>
      <c r="BI74" s="182">
        <f t="shared" si="28"/>
        <v>4</v>
      </c>
      <c r="BJ74" s="182">
        <f t="shared" si="29"/>
        <v>4</v>
      </c>
      <c r="BL74" s="182"/>
      <c r="BM74" s="182"/>
      <c r="BN74" s="182"/>
      <c r="BP74" s="225">
        <f t="shared" si="30"/>
        <v>4</v>
      </c>
      <c r="BQ74" s="182">
        <f t="shared" si="31"/>
        <v>41.599999999999994</v>
      </c>
      <c r="BR74" s="173" t="s">
        <v>204</v>
      </c>
      <c r="BS74" s="226">
        <f t="shared" si="20"/>
        <v>2367.7686153846153</v>
      </c>
      <c r="BT74" s="227"/>
      <c r="BU74" s="227" t="s">
        <v>335</v>
      </c>
      <c r="BV74" s="227"/>
      <c r="BW74" s="227" t="s">
        <v>335</v>
      </c>
      <c r="BX74" s="230" t="s">
        <v>1091</v>
      </c>
      <c r="BY74" s="231" t="s">
        <v>1092</v>
      </c>
      <c r="CA74" s="177" t="s">
        <v>160</v>
      </c>
      <c r="CB74" s="187">
        <v>846.4</v>
      </c>
      <c r="CC74" s="186">
        <v>920</v>
      </c>
      <c r="CD74" s="186">
        <v>4</v>
      </c>
      <c r="CE74" s="173">
        <v>16</v>
      </c>
      <c r="CF74" s="173">
        <f t="shared" si="33"/>
        <v>16</v>
      </c>
      <c r="CG74" s="173">
        <f t="shared" si="34"/>
        <v>4</v>
      </c>
      <c r="CK74" s="173">
        <f t="shared" si="35"/>
        <v>0</v>
      </c>
    </row>
    <row r="75" spans="1:89" ht="15" hidden="1" customHeight="1">
      <c r="A75" s="177" t="s">
        <v>82</v>
      </c>
      <c r="B75" s="173" t="s">
        <v>564</v>
      </c>
      <c r="C75" s="175">
        <v>74</v>
      </c>
      <c r="D75" s="173" t="s">
        <v>610</v>
      </c>
      <c r="E75" s="177" t="s">
        <v>319</v>
      </c>
      <c r="F75" s="213" t="s">
        <v>1281</v>
      </c>
      <c r="G75" s="213" t="s">
        <v>1282</v>
      </c>
      <c r="H75" s="213"/>
      <c r="I75" s="213" t="s">
        <v>1283</v>
      </c>
      <c r="J75" s="213" t="s">
        <v>1031</v>
      </c>
      <c r="K75" s="214" t="s">
        <v>320</v>
      </c>
      <c r="L75" s="213" t="s">
        <v>1284</v>
      </c>
      <c r="M75" s="213" t="s">
        <v>1285</v>
      </c>
      <c r="N75" s="213"/>
      <c r="O75" s="213"/>
      <c r="P75" s="177">
        <v>13.75</v>
      </c>
      <c r="Q75" s="177">
        <v>3.625</v>
      </c>
      <c r="R75" s="177">
        <v>1.25</v>
      </c>
      <c r="S75" s="215">
        <v>730007000566</v>
      </c>
      <c r="T75" s="177">
        <v>0.1</v>
      </c>
      <c r="U75" s="178">
        <v>3.6055953414351853E-2</v>
      </c>
      <c r="V75" s="173" t="s">
        <v>565</v>
      </c>
      <c r="W75" s="217">
        <v>6</v>
      </c>
      <c r="X75" s="177">
        <v>5.25</v>
      </c>
      <c r="Y75" s="177">
        <v>16.75</v>
      </c>
      <c r="Z75" s="177">
        <v>8.25</v>
      </c>
      <c r="AA75" s="177">
        <v>1.25</v>
      </c>
      <c r="AB75" s="178">
        <v>0.41984049479166669</v>
      </c>
      <c r="AC75" s="177">
        <v>24</v>
      </c>
      <c r="AM75" s="218" t="s">
        <v>987</v>
      </c>
      <c r="AN75" s="177" t="s">
        <v>988</v>
      </c>
      <c r="AO75" s="177" t="s">
        <v>989</v>
      </c>
      <c r="AQ75" s="281">
        <v>280</v>
      </c>
      <c r="AR75" s="219">
        <v>2800</v>
      </c>
      <c r="AS75" s="220">
        <v>53.846153846153847</v>
      </c>
      <c r="AT75" s="221">
        <v>0.19230769230769232</v>
      </c>
      <c r="AU75" s="222">
        <v>1.1170769230769231</v>
      </c>
      <c r="AV75" s="189">
        <v>6</v>
      </c>
      <c r="AW75" s="223">
        <f t="shared" si="32"/>
        <v>0</v>
      </c>
      <c r="AX75" s="177">
        <v>5.25</v>
      </c>
      <c r="AY75" s="177">
        <v>16.75</v>
      </c>
      <c r="AZ75" s="177">
        <v>8.25</v>
      </c>
      <c r="BA75" s="177">
        <v>1.25</v>
      </c>
      <c r="BG75" s="182">
        <f t="shared" si="26"/>
        <v>31.2</v>
      </c>
      <c r="BH75" s="224">
        <f t="shared" si="27"/>
        <v>1.5384615384615385</v>
      </c>
      <c r="BI75" s="182">
        <f t="shared" si="28"/>
        <v>6</v>
      </c>
      <c r="BJ75" s="182">
        <f t="shared" si="29"/>
        <v>6</v>
      </c>
      <c r="BL75" s="182"/>
      <c r="BM75" s="182"/>
      <c r="BN75" s="182"/>
      <c r="BP75" s="225">
        <f t="shared" si="30"/>
        <v>6</v>
      </c>
      <c r="BQ75" s="182">
        <f t="shared" si="31"/>
        <v>31.2</v>
      </c>
      <c r="BR75" s="173" t="s">
        <v>204</v>
      </c>
      <c r="BS75" s="226">
        <f t="shared" si="20"/>
        <v>1876.6892307692306</v>
      </c>
      <c r="BT75" s="227"/>
      <c r="BU75" s="227" t="s">
        <v>335</v>
      </c>
      <c r="BV75" s="227" t="s">
        <v>335</v>
      </c>
      <c r="BW75" s="227" t="s">
        <v>335</v>
      </c>
      <c r="BX75" s="189" t="s">
        <v>1014</v>
      </c>
      <c r="BY75" s="189"/>
      <c r="CA75" s="177" t="s">
        <v>319</v>
      </c>
      <c r="CB75" s="187" t="e">
        <v>#N/A</v>
      </c>
      <c r="CC75" s="186" t="e">
        <v>#N/A</v>
      </c>
      <c r="CD75" s="186" t="e">
        <v>#N/A</v>
      </c>
      <c r="CE75" s="173" t="e">
        <v>#N/A</v>
      </c>
    </row>
    <row r="76" spans="1:89" ht="15" customHeight="1">
      <c r="A76" s="177" t="s">
        <v>82</v>
      </c>
      <c r="B76" s="173" t="s">
        <v>564</v>
      </c>
      <c r="C76" s="175">
        <v>66</v>
      </c>
      <c r="D76" s="173" t="s">
        <v>339</v>
      </c>
      <c r="E76" s="177" t="s">
        <v>129</v>
      </c>
      <c r="F76" s="213" t="s">
        <v>1086</v>
      </c>
      <c r="G76" s="213" t="s">
        <v>1087</v>
      </c>
      <c r="H76" s="213" t="s">
        <v>73</v>
      </c>
      <c r="I76" s="213" t="s">
        <v>1088</v>
      </c>
      <c r="J76" s="213" t="s">
        <v>1031</v>
      </c>
      <c r="K76" s="214" t="s">
        <v>214</v>
      </c>
      <c r="L76" s="213" t="s">
        <v>1286</v>
      </c>
      <c r="M76" s="213" t="s">
        <v>1287</v>
      </c>
      <c r="N76" s="213"/>
      <c r="O76" s="213"/>
      <c r="P76" s="177">
        <v>5.7</v>
      </c>
      <c r="Q76" s="177">
        <v>3.65</v>
      </c>
      <c r="R76" s="177">
        <v>1</v>
      </c>
      <c r="S76" s="215">
        <v>730007000160</v>
      </c>
      <c r="T76" s="177">
        <v>0.22</v>
      </c>
      <c r="U76" s="178">
        <v>1.2039930555555555E-2</v>
      </c>
      <c r="V76" s="173" t="s">
        <v>565</v>
      </c>
      <c r="W76" s="217">
        <v>6</v>
      </c>
      <c r="X76" s="177">
        <v>6.75</v>
      </c>
      <c r="Y76" s="177">
        <v>6</v>
      </c>
      <c r="Z76" s="177">
        <v>4.0999999999999996</v>
      </c>
      <c r="AA76" s="177">
        <v>1.32</v>
      </c>
      <c r="AB76" s="178">
        <v>9.6093749999999992E-2</v>
      </c>
      <c r="AC76" s="177">
        <v>24</v>
      </c>
      <c r="AD76" s="177">
        <v>7.25</v>
      </c>
      <c r="AE76" s="177">
        <v>13</v>
      </c>
      <c r="AF76" s="177">
        <v>9.1999999999999993</v>
      </c>
      <c r="AG76" s="177">
        <v>7.28</v>
      </c>
      <c r="AM76" s="218" t="s">
        <v>987</v>
      </c>
      <c r="AN76" s="177" t="s">
        <v>988</v>
      </c>
      <c r="AO76" s="177" t="s">
        <v>989</v>
      </c>
      <c r="AQ76" s="281">
        <v>184</v>
      </c>
      <c r="AR76" s="219">
        <v>1104.0000000000002</v>
      </c>
      <c r="AS76" s="220">
        <v>21.230769230769234</v>
      </c>
      <c r="AT76" s="221">
        <v>0.1153846153846154</v>
      </c>
      <c r="AU76" s="222">
        <v>1.7999999999999998</v>
      </c>
      <c r="AV76" s="189">
        <v>6</v>
      </c>
      <c r="AW76" s="223">
        <f t="shared" si="32"/>
        <v>0</v>
      </c>
      <c r="AX76" s="228">
        <v>6.75</v>
      </c>
      <c r="AY76" s="177">
        <v>6</v>
      </c>
      <c r="AZ76" s="177">
        <v>4.0999999999999996</v>
      </c>
      <c r="BA76" s="177">
        <v>1.32</v>
      </c>
      <c r="BG76" s="182">
        <f t="shared" si="26"/>
        <v>51.999999999999993</v>
      </c>
      <c r="BH76" s="224">
        <f t="shared" si="27"/>
        <v>0.92307692307692324</v>
      </c>
      <c r="BI76" s="182">
        <f t="shared" si="28"/>
        <v>6</v>
      </c>
      <c r="BJ76" s="182">
        <f t="shared" si="29"/>
        <v>6</v>
      </c>
      <c r="BL76" s="182"/>
      <c r="BM76" s="182"/>
      <c r="BN76" s="182"/>
      <c r="BP76" s="225">
        <f t="shared" si="30"/>
        <v>6</v>
      </c>
      <c r="BQ76" s="182">
        <f t="shared" si="31"/>
        <v>51.999999999999993</v>
      </c>
      <c r="BR76" s="173" t="s">
        <v>204</v>
      </c>
      <c r="BS76" s="226">
        <f t="shared" si="20"/>
        <v>1987.1999999999998</v>
      </c>
      <c r="BT76" s="227"/>
      <c r="BU76" s="227" t="s">
        <v>335</v>
      </c>
      <c r="BV76" s="227"/>
      <c r="BW76" s="227" t="s">
        <v>335</v>
      </c>
      <c r="BX76" s="230" t="s">
        <v>1091</v>
      </c>
      <c r="BY76" s="231" t="s">
        <v>1092</v>
      </c>
      <c r="CA76" s="177" t="s">
        <v>129</v>
      </c>
      <c r="CB76" s="187">
        <v>1269.5999999999999</v>
      </c>
      <c r="CC76" s="186">
        <v>1104.0000000000002</v>
      </c>
      <c r="CD76" s="186">
        <v>6</v>
      </c>
      <c r="CE76" s="173">
        <v>24</v>
      </c>
      <c r="CF76" s="173">
        <f t="shared" ref="CF76:CF78" si="36">CE76</f>
        <v>24</v>
      </c>
      <c r="CG76" s="173">
        <f t="shared" ref="CG76:CG78" si="37">CE76/CD76</f>
        <v>4</v>
      </c>
      <c r="CK76" s="173">
        <f t="shared" ref="CK76:CK78" si="38">CD76-AV76</f>
        <v>0</v>
      </c>
    </row>
    <row r="77" spans="1:89" ht="15" customHeight="1">
      <c r="A77" s="177" t="s">
        <v>82</v>
      </c>
      <c r="B77" s="173" t="s">
        <v>564</v>
      </c>
      <c r="C77" s="175">
        <v>70</v>
      </c>
      <c r="D77" s="173" t="s">
        <v>611</v>
      </c>
      <c r="E77" s="232" t="s">
        <v>86</v>
      </c>
      <c r="F77" s="213" t="s">
        <v>1056</v>
      </c>
      <c r="G77" s="213" t="s">
        <v>1057</v>
      </c>
      <c r="H77" s="213" t="s">
        <v>73</v>
      </c>
      <c r="I77" s="213" t="s">
        <v>1288</v>
      </c>
      <c r="J77" s="213" t="s">
        <v>1031</v>
      </c>
      <c r="K77" s="214" t="s">
        <v>88</v>
      </c>
      <c r="L77" s="213" t="s">
        <v>1289</v>
      </c>
      <c r="M77" s="213" t="s">
        <v>1290</v>
      </c>
      <c r="N77" s="213"/>
      <c r="O77" s="213"/>
      <c r="P77" s="177">
        <v>5.7</v>
      </c>
      <c r="Q77" s="177">
        <v>3.65</v>
      </c>
      <c r="R77" s="177">
        <v>3</v>
      </c>
      <c r="S77" s="215" t="s">
        <v>815</v>
      </c>
      <c r="T77" s="177">
        <v>0.33</v>
      </c>
      <c r="U77" s="178">
        <v>3.6119791666666665E-2</v>
      </c>
      <c r="V77" s="173" t="s">
        <v>565</v>
      </c>
      <c r="W77" s="217">
        <v>3</v>
      </c>
      <c r="X77" s="177">
        <v>5.6</v>
      </c>
      <c r="Y77" s="177">
        <v>9</v>
      </c>
      <c r="Z77" s="177">
        <v>3.2</v>
      </c>
      <c r="AA77" s="177">
        <v>1.64</v>
      </c>
      <c r="AB77" s="178">
        <v>9.3333333333333338E-2</v>
      </c>
      <c r="AC77" s="177">
        <v>12</v>
      </c>
      <c r="AD77" s="177">
        <v>12.2</v>
      </c>
      <c r="AE77" s="177">
        <v>9.5</v>
      </c>
      <c r="AF77" s="177">
        <v>7.4</v>
      </c>
      <c r="AG77" s="177">
        <v>8.5599999999999987</v>
      </c>
      <c r="AM77" s="218" t="s">
        <v>987</v>
      </c>
      <c r="AN77" s="177" t="s">
        <v>988</v>
      </c>
      <c r="AO77" s="177" t="s">
        <v>989</v>
      </c>
      <c r="AQ77" s="281">
        <v>280</v>
      </c>
      <c r="AR77" s="219">
        <v>2800</v>
      </c>
      <c r="AS77" s="220">
        <v>53.846153846153847</v>
      </c>
      <c r="AT77" s="221">
        <v>0.19230769230769232</v>
      </c>
      <c r="AU77" s="222">
        <v>0.91230769230769226</v>
      </c>
      <c r="AV77" s="189">
        <v>3</v>
      </c>
      <c r="AW77" s="223">
        <f t="shared" si="32"/>
        <v>0</v>
      </c>
      <c r="AX77" s="177">
        <v>5.6</v>
      </c>
      <c r="AY77" s="177">
        <v>9</v>
      </c>
      <c r="AZ77" s="177">
        <v>3.2</v>
      </c>
      <c r="BA77" s="177">
        <v>1.64</v>
      </c>
      <c r="BG77" s="182">
        <f t="shared" si="26"/>
        <v>15.6</v>
      </c>
      <c r="BH77" s="224">
        <f t="shared" si="27"/>
        <v>1.5384615384615385</v>
      </c>
      <c r="BI77" s="182">
        <f t="shared" si="28"/>
        <v>3</v>
      </c>
      <c r="BJ77" s="182">
        <f t="shared" si="29"/>
        <v>3</v>
      </c>
      <c r="BL77" s="182"/>
      <c r="BM77" s="182"/>
      <c r="BN77" s="182"/>
      <c r="BP77" s="225">
        <f t="shared" si="30"/>
        <v>3</v>
      </c>
      <c r="BQ77" s="182">
        <f t="shared" si="31"/>
        <v>15.6</v>
      </c>
      <c r="BR77" s="173" t="s">
        <v>204</v>
      </c>
      <c r="BS77" s="226">
        <f t="shared" si="20"/>
        <v>766.3384615384615</v>
      </c>
      <c r="BT77" s="227" t="s">
        <v>612</v>
      </c>
      <c r="BU77" s="227" t="s">
        <v>335</v>
      </c>
      <c r="BV77" s="227" t="s">
        <v>335</v>
      </c>
      <c r="BW77" s="227" t="s">
        <v>335</v>
      </c>
      <c r="BX77" s="189" t="s">
        <v>1014</v>
      </c>
      <c r="BY77" s="189"/>
      <c r="CA77" s="232" t="s">
        <v>86</v>
      </c>
      <c r="CB77" s="187">
        <v>966</v>
      </c>
      <c r="CC77" s="186">
        <v>2800</v>
      </c>
      <c r="CD77" s="186">
        <v>3</v>
      </c>
      <c r="CE77" s="173">
        <v>12</v>
      </c>
      <c r="CF77" s="173">
        <f t="shared" si="36"/>
        <v>12</v>
      </c>
      <c r="CG77" s="173">
        <f t="shared" si="37"/>
        <v>4</v>
      </c>
      <c r="CK77" s="173">
        <f t="shared" si="38"/>
        <v>0</v>
      </c>
    </row>
    <row r="78" spans="1:89" ht="15" customHeight="1">
      <c r="A78" s="177" t="s">
        <v>82</v>
      </c>
      <c r="B78" s="173" t="s">
        <v>564</v>
      </c>
      <c r="C78" s="175">
        <v>58</v>
      </c>
      <c r="D78" s="173" t="s">
        <v>613</v>
      </c>
      <c r="E78" s="177" t="s">
        <v>109</v>
      </c>
      <c r="F78" s="213" t="s">
        <v>1223</v>
      </c>
      <c r="G78" s="213" t="s">
        <v>1224</v>
      </c>
      <c r="H78" s="213" t="s">
        <v>73</v>
      </c>
      <c r="I78" s="213" t="s">
        <v>1291</v>
      </c>
      <c r="J78" s="213" t="s">
        <v>1275</v>
      </c>
      <c r="K78" s="214" t="s">
        <v>88</v>
      </c>
      <c r="L78" s="213" t="s">
        <v>1292</v>
      </c>
      <c r="M78" s="213" t="s">
        <v>1293</v>
      </c>
      <c r="N78" s="213"/>
      <c r="O78" s="213"/>
      <c r="P78" s="177">
        <v>5.7</v>
      </c>
      <c r="Q78" s="177">
        <v>3.65</v>
      </c>
      <c r="R78" s="177">
        <v>0.75</v>
      </c>
      <c r="S78" s="215" t="s">
        <v>832</v>
      </c>
      <c r="T78" s="177">
        <v>0.28000000000000003</v>
      </c>
      <c r="U78" s="178">
        <v>9.0299479166666662E-3</v>
      </c>
      <c r="V78" s="173" t="s">
        <v>565</v>
      </c>
      <c r="W78" s="217">
        <v>6</v>
      </c>
      <c r="X78" s="177">
        <v>6.75</v>
      </c>
      <c r="Y78" s="177">
        <v>6</v>
      </c>
      <c r="Z78" s="177">
        <v>4.0999999999999996</v>
      </c>
      <c r="AA78" s="177">
        <v>1.66</v>
      </c>
      <c r="AB78" s="178">
        <v>9.6093749999999992E-2</v>
      </c>
      <c r="AC78" s="177">
        <v>12</v>
      </c>
      <c r="AD78" s="177">
        <v>7.25</v>
      </c>
      <c r="AE78" s="177">
        <v>6.5</v>
      </c>
      <c r="AF78" s="177">
        <v>9.1999999999999993</v>
      </c>
      <c r="AG78" s="177">
        <v>5.32</v>
      </c>
      <c r="AM78" s="218" t="s">
        <v>987</v>
      </c>
      <c r="AN78" s="177" t="s">
        <v>988</v>
      </c>
      <c r="AO78" s="177" t="s">
        <v>989</v>
      </c>
      <c r="AQ78" s="281">
        <v>184</v>
      </c>
      <c r="AR78" s="219">
        <v>1104.0000000000002</v>
      </c>
      <c r="AS78" s="220">
        <v>21.230769230769234</v>
      </c>
      <c r="AT78" s="221">
        <v>0.1153846153846154</v>
      </c>
      <c r="AU78" s="222">
        <v>1.42</v>
      </c>
      <c r="AV78" s="189">
        <v>6</v>
      </c>
      <c r="AW78" s="223">
        <f t="shared" si="32"/>
        <v>0</v>
      </c>
      <c r="AX78" s="228">
        <v>6.75</v>
      </c>
      <c r="AY78" s="177">
        <v>6</v>
      </c>
      <c r="AZ78" s="177">
        <v>4.0999999999999996</v>
      </c>
      <c r="BA78" s="177">
        <v>1.66</v>
      </c>
      <c r="BG78" s="182">
        <f t="shared" si="26"/>
        <v>51.999999999999993</v>
      </c>
      <c r="BH78" s="224">
        <f t="shared" si="27"/>
        <v>0.92307692307692324</v>
      </c>
      <c r="BI78" s="182">
        <f t="shared" si="28"/>
        <v>6</v>
      </c>
      <c r="BJ78" s="182">
        <f t="shared" si="29"/>
        <v>6</v>
      </c>
      <c r="BL78" s="182"/>
      <c r="BM78" s="182"/>
      <c r="BN78" s="182"/>
      <c r="BP78" s="225">
        <f t="shared" si="30"/>
        <v>6</v>
      </c>
      <c r="BQ78" s="182">
        <f t="shared" si="31"/>
        <v>51.999999999999993</v>
      </c>
      <c r="BR78" s="173" t="s">
        <v>240</v>
      </c>
      <c r="BS78" s="226">
        <f t="shared" si="20"/>
        <v>1567.6799999999998</v>
      </c>
      <c r="BT78" s="227"/>
      <c r="BU78" s="227" t="s">
        <v>335</v>
      </c>
      <c r="BV78" s="227"/>
      <c r="BW78" s="227" t="s">
        <v>335</v>
      </c>
      <c r="BX78" s="230" t="s">
        <v>1091</v>
      </c>
      <c r="BY78" s="231" t="s">
        <v>1092</v>
      </c>
      <c r="CA78" s="177" t="s">
        <v>109</v>
      </c>
      <c r="CB78" s="187">
        <v>1269.5999999999999</v>
      </c>
      <c r="CC78" s="186">
        <v>1104.0000000000002</v>
      </c>
      <c r="CD78" s="186">
        <v>6</v>
      </c>
      <c r="CE78" s="173">
        <v>12</v>
      </c>
      <c r="CF78" s="173">
        <f t="shared" si="36"/>
        <v>12</v>
      </c>
      <c r="CG78" s="173">
        <f t="shared" si="37"/>
        <v>2</v>
      </c>
      <c r="CK78" s="173">
        <f t="shared" si="38"/>
        <v>0</v>
      </c>
    </row>
    <row r="79" spans="1:89" ht="15" hidden="1" customHeight="1">
      <c r="A79" s="177" t="s">
        <v>1073</v>
      </c>
      <c r="B79" s="233" t="s">
        <v>564</v>
      </c>
      <c r="C79" s="234">
        <v>123</v>
      </c>
      <c r="D79" s="233" t="s">
        <v>546</v>
      </c>
      <c r="E79" s="235" t="s">
        <v>189</v>
      </c>
      <c r="F79" s="213" t="e">
        <v>#N/A</v>
      </c>
      <c r="G79" s="213" t="e">
        <v>#N/A</v>
      </c>
      <c r="H79" s="213"/>
      <c r="I79" s="213"/>
      <c r="J79" s="213"/>
      <c r="K79" s="214"/>
      <c r="L79" s="213"/>
      <c r="M79" s="213"/>
      <c r="N79" s="213"/>
      <c r="O79" s="213"/>
      <c r="P79" s="235" t="e">
        <v>#N/A</v>
      </c>
      <c r="Q79" s="235" t="e">
        <v>#N/A</v>
      </c>
      <c r="R79" s="235" t="e">
        <v>#N/A</v>
      </c>
      <c r="S79" s="235"/>
      <c r="T79" s="235" t="e">
        <v>#N/A</v>
      </c>
      <c r="U79" s="236" t="e">
        <v>#N/A</v>
      </c>
      <c r="V79" s="233" t="e">
        <v>#N/A</v>
      </c>
      <c r="W79" s="235" t="e">
        <v>#N/A</v>
      </c>
      <c r="X79" s="235" t="e">
        <v>#N/A</v>
      </c>
      <c r="Y79" s="235" t="e">
        <v>#N/A</v>
      </c>
      <c r="Z79" s="235" t="e">
        <v>#N/A</v>
      </c>
      <c r="AA79" s="235" t="e">
        <v>#N/A</v>
      </c>
      <c r="AB79" s="236" t="e">
        <v>#N/A</v>
      </c>
      <c r="AC79" s="235" t="e">
        <v>#N/A</v>
      </c>
      <c r="AD79" s="235"/>
      <c r="AE79" s="235"/>
      <c r="AF79" s="235"/>
      <c r="AG79" s="235"/>
      <c r="AH79" s="235"/>
      <c r="AI79" s="235"/>
      <c r="AJ79" s="235"/>
      <c r="AK79" s="235"/>
      <c r="AL79" s="235"/>
      <c r="AM79" s="237" t="s">
        <v>987</v>
      </c>
      <c r="AN79" s="235" t="s">
        <v>988</v>
      </c>
      <c r="AO79" s="235" t="s">
        <v>989</v>
      </c>
      <c r="AP79" s="233"/>
      <c r="AQ79" s="282">
        <v>68</v>
      </c>
      <c r="AR79" s="238">
        <v>476</v>
      </c>
      <c r="AS79" s="239">
        <v>9.1538461538461533</v>
      </c>
      <c r="AT79" s="240">
        <v>0.13461538461538461</v>
      </c>
      <c r="AU79" s="241">
        <v>3.85</v>
      </c>
      <c r="AV79" s="233">
        <v>3</v>
      </c>
      <c r="AW79" s="242" t="e">
        <f>AV79-AC79</f>
        <v>#N/A</v>
      </c>
      <c r="AX79" s="235"/>
      <c r="AY79" s="235"/>
      <c r="AZ79" s="235"/>
      <c r="BA79" s="235"/>
      <c r="BB79" s="235"/>
      <c r="BC79" s="235"/>
      <c r="BD79" s="235"/>
      <c r="BE79" s="235"/>
      <c r="BF79" s="235"/>
      <c r="BG79" s="243">
        <f t="shared" si="26"/>
        <v>22.285714285714288</v>
      </c>
      <c r="BH79" s="244">
        <f t="shared" si="27"/>
        <v>1.0769230769230769</v>
      </c>
      <c r="BI79" s="243">
        <f t="shared" si="28"/>
        <v>3</v>
      </c>
      <c r="BJ79" s="243">
        <f t="shared" si="29"/>
        <v>3</v>
      </c>
      <c r="BK79" s="243"/>
      <c r="BL79" s="243"/>
      <c r="BM79" s="243"/>
      <c r="BN79" s="243"/>
      <c r="BO79" s="233"/>
      <c r="BP79" s="245">
        <f t="shared" si="30"/>
        <v>3</v>
      </c>
      <c r="BQ79" s="243">
        <f t="shared" si="31"/>
        <v>22.285714285714288</v>
      </c>
      <c r="BR79" s="233" t="s">
        <v>204</v>
      </c>
      <c r="BS79" s="246">
        <v>0</v>
      </c>
      <c r="BT79" s="247"/>
      <c r="BU79" s="247"/>
      <c r="BV79" s="247"/>
      <c r="BW79" s="247"/>
      <c r="BX79" s="233" t="s">
        <v>1294</v>
      </c>
      <c r="BY79" s="233"/>
      <c r="CA79" s="235" t="s">
        <v>189</v>
      </c>
      <c r="CB79" s="187" t="e">
        <v>#N/A</v>
      </c>
      <c r="CC79" s="186" t="e">
        <v>#N/A</v>
      </c>
      <c r="CD79" s="186" t="e">
        <v>#N/A</v>
      </c>
      <c r="CE79" s="173" t="e">
        <v>#N/A</v>
      </c>
    </row>
    <row r="80" spans="1:89" ht="15" customHeight="1">
      <c r="A80" s="177" t="s">
        <v>82</v>
      </c>
      <c r="B80" s="173" t="s">
        <v>564</v>
      </c>
      <c r="C80" s="175">
        <v>75</v>
      </c>
      <c r="D80" s="173" t="s">
        <v>440</v>
      </c>
      <c r="E80" s="177" t="s">
        <v>164</v>
      </c>
      <c r="F80" s="213" t="s">
        <v>1295</v>
      </c>
      <c r="G80" s="213" t="s">
        <v>1296</v>
      </c>
      <c r="H80" s="213" t="s">
        <v>1297</v>
      </c>
      <c r="I80" s="213" t="s">
        <v>1298</v>
      </c>
      <c r="J80" s="213" t="s">
        <v>1031</v>
      </c>
      <c r="K80" s="214" t="s">
        <v>88</v>
      </c>
      <c r="L80" s="213" t="s">
        <v>1299</v>
      </c>
      <c r="M80" s="213" t="s">
        <v>1300</v>
      </c>
      <c r="N80" s="213"/>
      <c r="O80" s="213"/>
      <c r="P80" s="177">
        <v>5.7</v>
      </c>
      <c r="Q80" s="177">
        <v>3.65</v>
      </c>
      <c r="R80" s="177">
        <v>2</v>
      </c>
      <c r="S80" s="215">
        <v>730007000719</v>
      </c>
      <c r="T80" s="177">
        <v>0.2</v>
      </c>
      <c r="U80" s="178">
        <v>2.4079861111111111E-2</v>
      </c>
      <c r="V80" s="173" t="s">
        <v>565</v>
      </c>
      <c r="W80" s="217">
        <v>4</v>
      </c>
      <c r="X80" s="177">
        <v>4.5</v>
      </c>
      <c r="Y80" s="177">
        <v>8</v>
      </c>
      <c r="Z80" s="177">
        <v>5</v>
      </c>
      <c r="AA80" s="177">
        <v>0.6</v>
      </c>
      <c r="AB80" s="178">
        <v>0.10416666666666667</v>
      </c>
      <c r="AC80" s="177">
        <v>80</v>
      </c>
      <c r="AD80" s="177">
        <v>23.5</v>
      </c>
      <c r="AE80" s="177">
        <v>11.5</v>
      </c>
      <c r="AF80" s="177">
        <v>11</v>
      </c>
      <c r="AG80" s="177">
        <v>12</v>
      </c>
      <c r="AM80" s="218" t="s">
        <v>987</v>
      </c>
      <c r="AN80" s="177" t="s">
        <v>988</v>
      </c>
      <c r="AO80" s="177" t="s">
        <v>989</v>
      </c>
      <c r="AQ80" s="281">
        <v>280</v>
      </c>
      <c r="AR80" s="219">
        <v>2240</v>
      </c>
      <c r="AS80" s="220">
        <v>43.07692307692308</v>
      </c>
      <c r="AT80" s="221">
        <v>0.15384615384615385</v>
      </c>
      <c r="AU80" s="222">
        <v>0.88292307692307681</v>
      </c>
      <c r="AV80" s="189">
        <v>6</v>
      </c>
      <c r="AW80" s="223">
        <f>AV80-W80</f>
        <v>2</v>
      </c>
      <c r="AX80" s="177">
        <v>4.5</v>
      </c>
      <c r="AY80" s="177">
        <v>11</v>
      </c>
      <c r="AZ80" s="177">
        <v>5</v>
      </c>
      <c r="BA80" s="229">
        <v>1</v>
      </c>
      <c r="BB80" s="229"/>
      <c r="BC80" s="229"/>
      <c r="BD80" s="229"/>
      <c r="BE80" s="229"/>
      <c r="BF80" s="229"/>
      <c r="BG80" s="182">
        <f t="shared" si="26"/>
        <v>39</v>
      </c>
      <c r="BH80" s="224">
        <f t="shared" si="27"/>
        <v>1.2307692307692308</v>
      </c>
      <c r="BI80" s="182">
        <f t="shared" si="28"/>
        <v>6</v>
      </c>
      <c r="BJ80" s="182">
        <f t="shared" si="29"/>
        <v>6</v>
      </c>
      <c r="BL80" s="182"/>
      <c r="BM80" s="182"/>
      <c r="BN80" s="182"/>
      <c r="BP80" s="225">
        <f t="shared" si="30"/>
        <v>6</v>
      </c>
      <c r="BQ80" s="182">
        <f t="shared" si="31"/>
        <v>39</v>
      </c>
      <c r="BR80" s="173" t="s">
        <v>204</v>
      </c>
      <c r="BS80" s="226">
        <f t="shared" ref="BS80:BS113" si="39">AV80*AU80*AQ80</f>
        <v>1483.3107692307692</v>
      </c>
      <c r="BT80" s="227"/>
      <c r="BU80" s="227" t="s">
        <v>335</v>
      </c>
      <c r="BV80" s="227" t="s">
        <v>335</v>
      </c>
      <c r="BW80" s="227" t="s">
        <v>335</v>
      </c>
      <c r="BX80" s="230" t="s">
        <v>1122</v>
      </c>
      <c r="BY80" s="189" t="s">
        <v>1301</v>
      </c>
      <c r="CA80" s="177" t="s">
        <v>164</v>
      </c>
      <c r="CB80" s="187">
        <v>1932</v>
      </c>
      <c r="CC80" s="186">
        <v>2240</v>
      </c>
      <c r="CD80" s="186">
        <v>6</v>
      </c>
      <c r="CE80" s="173">
        <v>80</v>
      </c>
      <c r="CF80" s="173">
        <v>60</v>
      </c>
      <c r="CG80" s="173">
        <f t="shared" ref="CG80:CG85" si="40">CE80/CD80</f>
        <v>13.333333333333334</v>
      </c>
      <c r="CK80" s="173">
        <f t="shared" ref="CK80:CK85" si="41">CD80-AV80</f>
        <v>0</v>
      </c>
    </row>
    <row r="81" spans="1:89" ht="15" customHeight="1">
      <c r="A81" s="177" t="s">
        <v>82</v>
      </c>
      <c r="B81" s="173" t="s">
        <v>564</v>
      </c>
      <c r="C81" s="175">
        <v>69</v>
      </c>
      <c r="D81" s="173" t="s">
        <v>436</v>
      </c>
      <c r="E81" s="177" t="s">
        <v>162</v>
      </c>
      <c r="F81" s="213" t="s">
        <v>1193</v>
      </c>
      <c r="G81" s="213" t="s">
        <v>1194</v>
      </c>
      <c r="H81" s="213" t="s">
        <v>122</v>
      </c>
      <c r="I81" s="213" t="s">
        <v>1302</v>
      </c>
      <c r="J81" s="213" t="s">
        <v>1031</v>
      </c>
      <c r="K81" s="214" t="s">
        <v>78</v>
      </c>
      <c r="L81" s="213" t="s">
        <v>1303</v>
      </c>
      <c r="M81" s="213" t="s">
        <v>1304</v>
      </c>
      <c r="N81" s="213"/>
      <c r="O81" s="213"/>
      <c r="P81" s="177">
        <v>8.25</v>
      </c>
      <c r="Q81" s="177">
        <v>5.125</v>
      </c>
      <c r="R81" s="177">
        <v>3</v>
      </c>
      <c r="S81" s="215">
        <v>730007000627</v>
      </c>
      <c r="T81" s="177">
        <v>0.57999999999999996</v>
      </c>
      <c r="U81" s="178">
        <v>7.3404947916666671E-2</v>
      </c>
      <c r="V81" s="173" t="s">
        <v>565</v>
      </c>
      <c r="W81" s="217">
        <v>3</v>
      </c>
      <c r="X81" s="177">
        <v>10.5</v>
      </c>
      <c r="Y81" s="177">
        <v>9</v>
      </c>
      <c r="Z81" s="177">
        <v>3.4</v>
      </c>
      <c r="AA81" s="177">
        <v>1.75</v>
      </c>
      <c r="AB81" s="178">
        <v>0.18593750000000001</v>
      </c>
      <c r="AC81" s="177">
        <v>48</v>
      </c>
      <c r="AD81" s="177">
        <v>22</v>
      </c>
      <c r="AE81" s="177">
        <v>19</v>
      </c>
      <c r="AF81" s="177">
        <v>14.6</v>
      </c>
      <c r="AG81" s="177">
        <v>30</v>
      </c>
      <c r="AM81" s="218" t="s">
        <v>987</v>
      </c>
      <c r="AN81" s="177" t="s">
        <v>988</v>
      </c>
      <c r="AO81" s="177" t="s">
        <v>989</v>
      </c>
      <c r="AQ81" s="281">
        <v>184</v>
      </c>
      <c r="AR81" s="219">
        <v>920</v>
      </c>
      <c r="AS81" s="220">
        <v>17.692307692307693</v>
      </c>
      <c r="AT81" s="221">
        <v>9.6153846153846159E-2</v>
      </c>
      <c r="AU81" s="222">
        <v>1.8929230769230772</v>
      </c>
      <c r="AV81" s="189">
        <v>3</v>
      </c>
      <c r="AW81" s="223">
        <f>AV81-W81</f>
        <v>0</v>
      </c>
      <c r="AX81" s="177">
        <v>10.5</v>
      </c>
      <c r="AY81" s="177">
        <v>9</v>
      </c>
      <c r="AZ81" s="177">
        <v>3.4</v>
      </c>
      <c r="BA81" s="177">
        <v>1.75</v>
      </c>
      <c r="BG81" s="182">
        <f t="shared" si="26"/>
        <v>31.2</v>
      </c>
      <c r="BH81" s="224">
        <f t="shared" si="27"/>
        <v>0.76923076923076927</v>
      </c>
      <c r="BI81" s="182">
        <f t="shared" si="28"/>
        <v>3</v>
      </c>
      <c r="BJ81" s="182">
        <f t="shared" si="29"/>
        <v>3</v>
      </c>
      <c r="BL81" s="182"/>
      <c r="BM81" s="182"/>
      <c r="BN81" s="182"/>
      <c r="BP81" s="225">
        <f t="shared" si="30"/>
        <v>3</v>
      </c>
      <c r="BQ81" s="182">
        <f t="shared" si="31"/>
        <v>31.2</v>
      </c>
      <c r="BR81" s="173" t="s">
        <v>204</v>
      </c>
      <c r="BS81" s="226">
        <f t="shared" si="39"/>
        <v>1044.8935384615386</v>
      </c>
      <c r="BT81" s="227"/>
      <c r="BU81" s="227" t="s">
        <v>335</v>
      </c>
      <c r="BV81" s="227"/>
      <c r="BW81" s="227" t="s">
        <v>335</v>
      </c>
      <c r="BX81" s="189" t="s">
        <v>1014</v>
      </c>
      <c r="BY81" s="189"/>
      <c r="CA81" s="177" t="s">
        <v>162</v>
      </c>
      <c r="CB81" s="187">
        <v>634.79999999999995</v>
      </c>
      <c r="CC81" s="186">
        <v>920</v>
      </c>
      <c r="CD81" s="186">
        <v>3</v>
      </c>
      <c r="CE81" s="173">
        <v>48</v>
      </c>
      <c r="CF81" s="173">
        <f t="shared" ref="CF81:CF85" si="42">CE81</f>
        <v>48</v>
      </c>
      <c r="CG81" s="173">
        <f t="shared" si="40"/>
        <v>16</v>
      </c>
      <c r="CK81" s="173">
        <f t="shared" si="41"/>
        <v>0</v>
      </c>
    </row>
    <row r="82" spans="1:89" ht="15" customHeight="1">
      <c r="A82" s="177" t="s">
        <v>82</v>
      </c>
      <c r="B82" s="173" t="s">
        <v>564</v>
      </c>
      <c r="C82" s="175">
        <v>72</v>
      </c>
      <c r="D82" s="173" t="s">
        <v>614</v>
      </c>
      <c r="E82" s="177" t="s">
        <v>178</v>
      </c>
      <c r="F82" s="213">
        <v>0</v>
      </c>
      <c r="G82" s="213">
        <v>0</v>
      </c>
      <c r="H82" s="213" t="s">
        <v>1124</v>
      </c>
      <c r="I82" s="213" t="s">
        <v>1305</v>
      </c>
      <c r="J82" s="213" t="s">
        <v>1031</v>
      </c>
      <c r="K82" s="214" t="s">
        <v>214</v>
      </c>
      <c r="L82" s="213"/>
      <c r="M82" s="213" t="s">
        <v>1306</v>
      </c>
      <c r="N82" s="213" t="s">
        <v>1307</v>
      </c>
      <c r="O82" s="213"/>
      <c r="P82" s="177">
        <v>5.7</v>
      </c>
      <c r="Q82" s="177">
        <v>3.65</v>
      </c>
      <c r="R82" s="177">
        <v>1</v>
      </c>
      <c r="S82" s="215" t="s">
        <v>887</v>
      </c>
      <c r="T82" s="177">
        <v>0.1</v>
      </c>
      <c r="U82" s="178">
        <v>1.2039930555555555E-2</v>
      </c>
      <c r="V82" s="173" t="s">
        <v>565</v>
      </c>
      <c r="W82" s="217">
        <v>6</v>
      </c>
      <c r="X82" s="177">
        <v>6.75</v>
      </c>
      <c r="Y82" s="177">
        <v>6</v>
      </c>
      <c r="Z82" s="177">
        <v>4.0999999999999996</v>
      </c>
      <c r="AA82" s="177">
        <v>1</v>
      </c>
      <c r="AB82" s="178">
        <v>9.6093749999999992E-2</v>
      </c>
      <c r="AC82" s="177">
        <v>24</v>
      </c>
      <c r="AD82" s="177">
        <v>7.25</v>
      </c>
      <c r="AE82" s="177">
        <v>13</v>
      </c>
      <c r="AF82" s="177">
        <v>9.1999999999999993</v>
      </c>
      <c r="AG82" s="177">
        <v>6</v>
      </c>
      <c r="AM82" s="218" t="s">
        <v>987</v>
      </c>
      <c r="AN82" s="177" t="s">
        <v>988</v>
      </c>
      <c r="AO82" s="177" t="s">
        <v>989</v>
      </c>
      <c r="AQ82" s="281">
        <v>280</v>
      </c>
      <c r="AR82" s="219">
        <v>2800</v>
      </c>
      <c r="AS82" s="220">
        <v>53.846153846153847</v>
      </c>
      <c r="AT82" s="221">
        <v>0.19230769230769232</v>
      </c>
      <c r="AU82" s="222">
        <v>0.6</v>
      </c>
      <c r="AV82" s="189">
        <v>6</v>
      </c>
      <c r="AW82" s="223">
        <f>AV82-W82</f>
        <v>0</v>
      </c>
      <c r="AX82" s="228">
        <v>6.75</v>
      </c>
      <c r="AY82" s="177">
        <v>6</v>
      </c>
      <c r="AZ82" s="177">
        <v>4.0999999999999996</v>
      </c>
      <c r="BA82" s="177">
        <v>1</v>
      </c>
      <c r="BG82" s="182">
        <f t="shared" si="26"/>
        <v>31.2</v>
      </c>
      <c r="BH82" s="224">
        <f t="shared" si="27"/>
        <v>1.5384615384615385</v>
      </c>
      <c r="BI82" s="182">
        <f t="shared" si="28"/>
        <v>6</v>
      </c>
      <c r="BJ82" s="182">
        <f t="shared" si="29"/>
        <v>6</v>
      </c>
      <c r="BL82" s="182"/>
      <c r="BM82" s="182"/>
      <c r="BN82" s="182"/>
      <c r="BP82" s="225">
        <f t="shared" si="30"/>
        <v>6</v>
      </c>
      <c r="BQ82" s="182">
        <f t="shared" si="31"/>
        <v>31.2</v>
      </c>
      <c r="BR82" s="173" t="s">
        <v>204</v>
      </c>
      <c r="BS82" s="226">
        <f t="shared" si="39"/>
        <v>1007.9999999999999</v>
      </c>
      <c r="BT82" s="227"/>
      <c r="BU82" s="227" t="s">
        <v>335</v>
      </c>
      <c r="BV82" s="227" t="s">
        <v>335</v>
      </c>
      <c r="BW82" s="227" t="s">
        <v>335</v>
      </c>
      <c r="BX82" s="230" t="s">
        <v>1091</v>
      </c>
      <c r="BY82" s="231" t="s">
        <v>1092</v>
      </c>
      <c r="CA82" s="177" t="s">
        <v>178</v>
      </c>
      <c r="CB82" s="187">
        <v>1932</v>
      </c>
      <c r="CC82" s="186">
        <v>2800</v>
      </c>
      <c r="CD82" s="186">
        <v>6</v>
      </c>
      <c r="CE82" s="173">
        <v>24</v>
      </c>
      <c r="CF82" s="173">
        <f t="shared" si="42"/>
        <v>24</v>
      </c>
      <c r="CG82" s="173">
        <f t="shared" si="40"/>
        <v>4</v>
      </c>
      <c r="CK82" s="173">
        <f t="shared" si="41"/>
        <v>0</v>
      </c>
    </row>
    <row r="83" spans="1:89" ht="15" customHeight="1">
      <c r="A83" s="177" t="s">
        <v>82</v>
      </c>
      <c r="B83" s="173" t="s">
        <v>564</v>
      </c>
      <c r="C83" s="175">
        <v>71</v>
      </c>
      <c r="D83" s="173" t="s">
        <v>616</v>
      </c>
      <c r="E83" s="177" t="s">
        <v>200</v>
      </c>
      <c r="F83" s="213" t="s">
        <v>1252</v>
      </c>
      <c r="G83" s="213" t="s">
        <v>1253</v>
      </c>
      <c r="H83" s="213" t="s">
        <v>73</v>
      </c>
      <c r="I83" s="213" t="s">
        <v>1254</v>
      </c>
      <c r="J83" s="213" t="s">
        <v>1031</v>
      </c>
      <c r="K83" s="214" t="e">
        <v>#N/A</v>
      </c>
      <c r="L83" s="213"/>
      <c r="M83" s="213"/>
      <c r="N83" s="213"/>
      <c r="O83" s="213"/>
      <c r="P83" s="177">
        <v>5.7</v>
      </c>
      <c r="Q83" s="177">
        <v>3.65</v>
      </c>
      <c r="R83" s="177">
        <v>0.3</v>
      </c>
      <c r="S83" s="215" t="s">
        <v>901</v>
      </c>
      <c r="T83" s="177">
        <v>1</v>
      </c>
      <c r="U83" s="178">
        <v>3.6119791666666661E-3</v>
      </c>
      <c r="V83" s="173" t="s">
        <v>565</v>
      </c>
      <c r="W83" s="217">
        <v>12</v>
      </c>
      <c r="X83" s="177">
        <v>3.3</v>
      </c>
      <c r="Y83" s="177">
        <v>4</v>
      </c>
      <c r="Z83" s="177">
        <v>5.8</v>
      </c>
      <c r="AA83" s="177">
        <v>0.8</v>
      </c>
      <c r="AB83" s="178">
        <v>4.4305555555555549E-2</v>
      </c>
      <c r="AC83" s="177">
        <v>48</v>
      </c>
      <c r="AD83" s="177">
        <v>7.6</v>
      </c>
      <c r="AE83" s="177">
        <v>9</v>
      </c>
      <c r="AF83" s="177">
        <v>6.3</v>
      </c>
      <c r="AG83" s="177">
        <v>6</v>
      </c>
      <c r="AM83" s="218" t="s">
        <v>987</v>
      </c>
      <c r="AN83" s="177" t="s">
        <v>988</v>
      </c>
      <c r="AO83" s="177" t="s">
        <v>989</v>
      </c>
      <c r="AQ83" s="281">
        <v>280</v>
      </c>
      <c r="AR83" s="219">
        <v>1960</v>
      </c>
      <c r="AS83" s="220">
        <v>37.692307692307693</v>
      </c>
      <c r="AT83" s="221">
        <v>0.13461538461538461</v>
      </c>
      <c r="AU83" s="222">
        <v>0.32307692307692304</v>
      </c>
      <c r="AV83" s="189">
        <v>15</v>
      </c>
      <c r="AW83" s="223">
        <f>AV83-W83</f>
        <v>3</v>
      </c>
      <c r="AX83" s="177">
        <v>3.3</v>
      </c>
      <c r="AY83" s="228">
        <v>4</v>
      </c>
      <c r="AZ83" s="228">
        <v>5.8</v>
      </c>
      <c r="BA83" s="229">
        <v>1</v>
      </c>
      <c r="BB83" s="229"/>
      <c r="BC83" s="229"/>
      <c r="BD83" s="229"/>
      <c r="BE83" s="229"/>
      <c r="BF83" s="229"/>
      <c r="BG83" s="182">
        <f t="shared" si="26"/>
        <v>111.42857142857143</v>
      </c>
      <c r="BH83" s="224">
        <f t="shared" si="27"/>
        <v>1.0769230769230769</v>
      </c>
      <c r="BI83" s="182">
        <f t="shared" si="28"/>
        <v>15</v>
      </c>
      <c r="BJ83" s="182">
        <f t="shared" si="29"/>
        <v>15</v>
      </c>
      <c r="BL83" s="182"/>
      <c r="BM83" s="182"/>
      <c r="BN83" s="182"/>
      <c r="BP83" s="225">
        <f t="shared" si="30"/>
        <v>15</v>
      </c>
      <c r="BQ83" s="182">
        <f t="shared" si="31"/>
        <v>111.42857142857143</v>
      </c>
      <c r="BR83" s="173" t="s">
        <v>248</v>
      </c>
      <c r="BS83" s="226">
        <f t="shared" si="39"/>
        <v>1356.9230769230769</v>
      </c>
      <c r="BT83" s="227"/>
      <c r="BU83" s="227" t="s">
        <v>335</v>
      </c>
      <c r="BV83" s="227" t="s">
        <v>335</v>
      </c>
      <c r="BW83" s="227" t="s">
        <v>335</v>
      </c>
      <c r="BX83" s="230" t="s">
        <v>1181</v>
      </c>
      <c r="BY83" s="231" t="s">
        <v>1257</v>
      </c>
      <c r="CA83" s="177" t="s">
        <v>200</v>
      </c>
      <c r="CB83" s="187">
        <v>4830</v>
      </c>
      <c r="CC83" s="186">
        <v>1960</v>
      </c>
      <c r="CD83" s="186">
        <v>15</v>
      </c>
      <c r="CE83" s="173">
        <v>48</v>
      </c>
      <c r="CF83" s="173">
        <v>60</v>
      </c>
      <c r="CG83" s="173">
        <f t="shared" si="40"/>
        <v>3.2</v>
      </c>
      <c r="CK83" s="173">
        <f t="shared" si="41"/>
        <v>0</v>
      </c>
    </row>
    <row r="84" spans="1:89" ht="15" customHeight="1">
      <c r="A84" s="177" t="s">
        <v>82</v>
      </c>
      <c r="B84" s="173" t="s">
        <v>564</v>
      </c>
      <c r="C84" s="175">
        <v>48</v>
      </c>
      <c r="D84" s="173" t="s">
        <v>500</v>
      </c>
      <c r="E84" s="177" t="s">
        <v>180</v>
      </c>
      <c r="F84" s="213">
        <v>0</v>
      </c>
      <c r="G84" s="213">
        <v>0</v>
      </c>
      <c r="H84" s="213" t="s">
        <v>1124</v>
      </c>
      <c r="I84" s="213" t="s">
        <v>1308</v>
      </c>
      <c r="J84" s="213" t="s">
        <v>1031</v>
      </c>
      <c r="K84" s="214" t="s">
        <v>272</v>
      </c>
      <c r="L84" s="213"/>
      <c r="N84" s="213" t="s">
        <v>1149</v>
      </c>
      <c r="O84" s="213" t="s">
        <v>1150</v>
      </c>
      <c r="P84" s="177">
        <v>8</v>
      </c>
      <c r="Q84" s="177">
        <v>8</v>
      </c>
      <c r="R84" s="177">
        <v>2</v>
      </c>
      <c r="S84" s="215">
        <v>730007000498</v>
      </c>
      <c r="T84" s="177">
        <v>0.5</v>
      </c>
      <c r="U84" s="178">
        <v>7.407407407407407E-2</v>
      </c>
      <c r="V84" s="173" t="s">
        <v>572</v>
      </c>
      <c r="W84" s="217">
        <v>3</v>
      </c>
      <c r="X84" s="177">
        <v>8.25</v>
      </c>
      <c r="Y84" s="177">
        <v>8.25</v>
      </c>
      <c r="Z84" s="177">
        <v>5</v>
      </c>
      <c r="AA84" s="177">
        <v>2.75</v>
      </c>
      <c r="AB84" s="178">
        <v>0.19694010416666666</v>
      </c>
      <c r="AC84" s="177">
        <v>24</v>
      </c>
      <c r="AD84" s="177">
        <v>17.5</v>
      </c>
      <c r="AE84" s="177">
        <v>17.5</v>
      </c>
      <c r="AF84" s="177">
        <v>11</v>
      </c>
      <c r="AG84" s="177">
        <v>24</v>
      </c>
      <c r="AM84" s="218" t="s">
        <v>987</v>
      </c>
      <c r="AN84" s="177" t="s">
        <v>988</v>
      </c>
      <c r="AO84" s="177" t="s">
        <v>989</v>
      </c>
      <c r="AQ84" s="281">
        <v>1599</v>
      </c>
      <c r="AR84" s="219">
        <v>15990</v>
      </c>
      <c r="AS84" s="220">
        <v>307.5</v>
      </c>
      <c r="AT84" s="221">
        <v>0.19230769230769232</v>
      </c>
      <c r="AU84" s="222">
        <v>2.2999999999999998</v>
      </c>
      <c r="AV84" s="189">
        <v>3</v>
      </c>
      <c r="AW84" s="223">
        <f>AV84-W84</f>
        <v>0</v>
      </c>
      <c r="AX84" s="177">
        <v>8.25</v>
      </c>
      <c r="AY84" s="177">
        <v>8.25</v>
      </c>
      <c r="AZ84" s="177">
        <v>5</v>
      </c>
      <c r="BA84" s="177">
        <v>2.75</v>
      </c>
      <c r="BG84" s="182">
        <f t="shared" si="26"/>
        <v>15.6</v>
      </c>
      <c r="BH84" s="224">
        <f t="shared" si="27"/>
        <v>1.5384615384615385</v>
      </c>
      <c r="BI84" s="182">
        <f t="shared" si="28"/>
        <v>3</v>
      </c>
      <c r="BJ84" s="182">
        <f t="shared" si="29"/>
        <v>3</v>
      </c>
      <c r="BL84" s="182"/>
      <c r="BM84" s="182"/>
      <c r="BN84" s="182"/>
      <c r="BP84" s="225">
        <f t="shared" si="30"/>
        <v>3</v>
      </c>
      <c r="BQ84" s="182">
        <f t="shared" si="31"/>
        <v>15.6</v>
      </c>
      <c r="BR84" s="173" t="s">
        <v>204</v>
      </c>
      <c r="BS84" s="226">
        <f t="shared" si="39"/>
        <v>11033.099999999999</v>
      </c>
      <c r="BT84" s="227"/>
      <c r="BU84" s="227"/>
      <c r="BV84" s="227"/>
      <c r="BW84" s="227" t="s">
        <v>335</v>
      </c>
      <c r="BX84" s="189" t="s">
        <v>1014</v>
      </c>
      <c r="BY84" s="189"/>
      <c r="CA84" s="177" t="s">
        <v>180</v>
      </c>
      <c r="CB84" s="187">
        <v>234.6</v>
      </c>
      <c r="CC84" s="186">
        <v>476</v>
      </c>
      <c r="CD84" s="186">
        <v>3</v>
      </c>
      <c r="CE84" s="173">
        <v>24</v>
      </c>
      <c r="CF84" s="173">
        <f t="shared" si="42"/>
        <v>24</v>
      </c>
      <c r="CG84" s="173">
        <f t="shared" si="40"/>
        <v>8</v>
      </c>
      <c r="CK84" s="173">
        <f t="shared" si="41"/>
        <v>0</v>
      </c>
    </row>
    <row r="85" spans="1:89" ht="15" customHeight="1">
      <c r="A85" s="177" t="s">
        <v>82</v>
      </c>
      <c r="B85" s="173" t="s">
        <v>564</v>
      </c>
      <c r="C85" s="175">
        <v>29</v>
      </c>
      <c r="D85" s="173" t="s">
        <v>508</v>
      </c>
      <c r="E85" s="177" t="s">
        <v>185</v>
      </c>
      <c r="F85" s="213" t="s">
        <v>1016</v>
      </c>
      <c r="G85" s="213" t="s">
        <v>1017</v>
      </c>
      <c r="H85" s="213" t="s">
        <v>73</v>
      </c>
      <c r="I85" s="213" t="s">
        <v>1309</v>
      </c>
      <c r="J85" s="213" t="s">
        <v>1019</v>
      </c>
      <c r="K85" s="214" t="s">
        <v>388</v>
      </c>
      <c r="L85" s="213" t="s">
        <v>1310</v>
      </c>
      <c r="M85" s="213" t="s">
        <v>1311</v>
      </c>
      <c r="N85" s="213"/>
      <c r="O85" s="213"/>
      <c r="P85" s="177">
        <v>4</v>
      </c>
      <c r="Q85" s="177">
        <v>6</v>
      </c>
      <c r="R85" s="177">
        <v>11</v>
      </c>
      <c r="S85" s="215" t="s">
        <v>892</v>
      </c>
      <c r="T85" s="177">
        <v>1.75</v>
      </c>
      <c r="U85" s="178">
        <v>0.15277777777777779</v>
      </c>
      <c r="V85" s="173" t="s">
        <v>584</v>
      </c>
      <c r="W85" s="177" t="s">
        <v>335</v>
      </c>
      <c r="X85" s="177" t="s">
        <v>335</v>
      </c>
      <c r="Y85" s="177" t="s">
        <v>335</v>
      </c>
      <c r="Z85" s="177" t="s">
        <v>335</v>
      </c>
      <c r="AA85" s="177" t="s">
        <v>335</v>
      </c>
      <c r="AB85" s="178" t="e">
        <v>#VALUE!</v>
      </c>
      <c r="AC85" s="217">
        <v>6</v>
      </c>
      <c r="AD85" s="177">
        <v>13</v>
      </c>
      <c r="AE85" s="177">
        <v>13</v>
      </c>
      <c r="AF85" s="177">
        <v>11.5</v>
      </c>
      <c r="AG85" s="177">
        <v>12.5</v>
      </c>
      <c r="AM85" s="218" t="s">
        <v>987</v>
      </c>
      <c r="AN85" s="177" t="s">
        <v>988</v>
      </c>
      <c r="AO85" s="177" t="s">
        <v>989</v>
      </c>
      <c r="AQ85" s="281">
        <v>68</v>
      </c>
      <c r="AR85" s="219">
        <v>340.00000000000006</v>
      </c>
      <c r="AS85" s="220">
        <v>6.5384615384615392</v>
      </c>
      <c r="AT85" s="221">
        <v>9.6153846153846159E-2</v>
      </c>
      <c r="AU85" s="222">
        <v>12.138461538461538</v>
      </c>
      <c r="AV85" s="189">
        <v>1</v>
      </c>
      <c r="AW85" s="223">
        <f>AV85-AC85</f>
        <v>-5</v>
      </c>
      <c r="AX85" s="177">
        <v>4</v>
      </c>
      <c r="AY85" s="177">
        <v>6</v>
      </c>
      <c r="AZ85" s="177">
        <v>11</v>
      </c>
      <c r="BA85" s="177">
        <v>1.75</v>
      </c>
      <c r="BG85" s="182">
        <f t="shared" si="26"/>
        <v>10.399999999999999</v>
      </c>
      <c r="BH85" s="224">
        <f t="shared" si="27"/>
        <v>0.76923076923076927</v>
      </c>
      <c r="BI85" s="182">
        <f t="shared" si="28"/>
        <v>2</v>
      </c>
      <c r="BJ85" s="182">
        <f t="shared" si="29"/>
        <v>2</v>
      </c>
      <c r="BL85" s="182"/>
      <c r="BM85" s="182"/>
      <c r="BN85" s="182"/>
      <c r="BP85" s="225">
        <f t="shared" si="30"/>
        <v>2</v>
      </c>
      <c r="BQ85" s="182">
        <f t="shared" si="31"/>
        <v>20.799999999999997</v>
      </c>
      <c r="BR85" s="173" t="s">
        <v>204</v>
      </c>
      <c r="BS85" s="226">
        <f t="shared" si="39"/>
        <v>825.4153846153846</v>
      </c>
      <c r="BT85" s="227"/>
      <c r="BU85" s="227"/>
      <c r="BV85" s="227"/>
      <c r="BW85" s="227" t="s">
        <v>335</v>
      </c>
      <c r="BX85" s="189" t="s">
        <v>990</v>
      </c>
      <c r="BY85" s="189"/>
      <c r="CA85" s="177" t="s">
        <v>185</v>
      </c>
      <c r="CB85" s="187">
        <v>78.2</v>
      </c>
      <c r="CC85" s="186">
        <v>340.00000000000006</v>
      </c>
      <c r="CD85" s="186">
        <v>1</v>
      </c>
      <c r="CE85" s="173">
        <v>6</v>
      </c>
      <c r="CF85" s="173">
        <f t="shared" si="42"/>
        <v>6</v>
      </c>
      <c r="CG85" s="173">
        <f t="shared" si="40"/>
        <v>6</v>
      </c>
      <c r="CK85" s="173">
        <f t="shared" si="41"/>
        <v>0</v>
      </c>
    </row>
    <row r="86" spans="1:89" ht="15" hidden="1" customHeight="1">
      <c r="A86" s="177" t="s">
        <v>82</v>
      </c>
      <c r="B86" s="173" t="s">
        <v>564</v>
      </c>
      <c r="C86" s="175">
        <v>12</v>
      </c>
      <c r="D86" s="173" t="s">
        <v>517</v>
      </c>
      <c r="E86" s="177" t="s">
        <v>516</v>
      </c>
      <c r="F86" s="213"/>
      <c r="G86" s="213" t="s">
        <v>1010</v>
      </c>
      <c r="H86" s="213"/>
      <c r="I86" s="213" t="s">
        <v>1011</v>
      </c>
      <c r="J86" s="213" t="s">
        <v>1012</v>
      </c>
      <c r="K86" s="214" t="s">
        <v>376</v>
      </c>
      <c r="L86" s="213"/>
      <c r="M86" s="213"/>
      <c r="N86" s="213"/>
      <c r="O86" s="213"/>
      <c r="P86" s="177">
        <v>8.5</v>
      </c>
      <c r="Q86" s="177">
        <v>8.5</v>
      </c>
      <c r="R86" s="177">
        <v>4.25</v>
      </c>
      <c r="S86" s="215" t="s">
        <v>894</v>
      </c>
      <c r="T86" s="177">
        <v>3</v>
      </c>
      <c r="U86" s="178">
        <v>0.17769820601851852</v>
      </c>
      <c r="V86" s="216" t="s">
        <v>565</v>
      </c>
      <c r="W86" s="217">
        <v>3</v>
      </c>
      <c r="X86" s="177">
        <v>8.1</v>
      </c>
      <c r="Y86" s="177">
        <v>8.1</v>
      </c>
      <c r="Z86" s="177">
        <v>9.1</v>
      </c>
      <c r="AA86" s="177">
        <v>9.5</v>
      </c>
      <c r="AB86" s="178">
        <v>0.34551562499999994</v>
      </c>
      <c r="AC86" s="177">
        <v>12</v>
      </c>
      <c r="AM86" s="218" t="s">
        <v>987</v>
      </c>
      <c r="AN86" s="177" t="s">
        <v>988</v>
      </c>
      <c r="AO86" s="177" t="s">
        <v>989</v>
      </c>
      <c r="AQ86" s="281">
        <v>68</v>
      </c>
      <c r="AR86" s="219">
        <v>340.00000000000006</v>
      </c>
      <c r="AS86" s="220">
        <v>6.5384615384615392</v>
      </c>
      <c r="AT86" s="221">
        <v>9.6153846153846159E-2</v>
      </c>
      <c r="AU86" s="222">
        <v>15.23076923076923</v>
      </c>
      <c r="AV86" s="189">
        <v>3</v>
      </c>
      <c r="AW86" s="223">
        <f>AV86-W86</f>
        <v>0</v>
      </c>
      <c r="AX86" s="177">
        <v>8.1</v>
      </c>
      <c r="AY86" s="177">
        <v>8.1</v>
      </c>
      <c r="AZ86" s="177">
        <v>9.1</v>
      </c>
      <c r="BA86" s="177">
        <v>9.5</v>
      </c>
      <c r="BG86" s="182">
        <f t="shared" si="26"/>
        <v>31.2</v>
      </c>
      <c r="BH86" s="224">
        <f t="shared" si="27"/>
        <v>0.76923076923076927</v>
      </c>
      <c r="BI86" s="182">
        <f t="shared" si="28"/>
        <v>3</v>
      </c>
      <c r="BJ86" s="182">
        <f t="shared" si="29"/>
        <v>3</v>
      </c>
      <c r="BL86" s="182"/>
      <c r="BM86" s="182"/>
      <c r="BN86" s="182"/>
      <c r="BP86" s="225">
        <f t="shared" si="30"/>
        <v>3</v>
      </c>
      <c r="BQ86" s="182">
        <f t="shared" si="31"/>
        <v>31.2</v>
      </c>
      <c r="BR86" s="173" t="s">
        <v>240</v>
      </c>
      <c r="BS86" s="226">
        <f t="shared" si="39"/>
        <v>3107.0769230769233</v>
      </c>
      <c r="BT86" s="227"/>
      <c r="BU86" s="227"/>
      <c r="BV86" s="227"/>
      <c r="BW86" s="227" t="s">
        <v>335</v>
      </c>
      <c r="BX86" s="189" t="s">
        <v>1014</v>
      </c>
      <c r="BY86" s="189"/>
      <c r="CA86" s="177" t="s">
        <v>516</v>
      </c>
      <c r="CB86" s="187" t="e">
        <v>#N/A</v>
      </c>
      <c r="CC86" s="186" t="e">
        <v>#N/A</v>
      </c>
      <c r="CD86" s="186" t="e">
        <v>#N/A</v>
      </c>
      <c r="CE86" s="173" t="e">
        <v>#N/A</v>
      </c>
    </row>
    <row r="87" spans="1:89" ht="15" hidden="1" customHeight="1">
      <c r="A87" s="177" t="s">
        <v>82</v>
      </c>
      <c r="B87" s="173" t="s">
        <v>564</v>
      </c>
      <c r="C87" s="175">
        <v>38</v>
      </c>
      <c r="D87" s="173" t="s">
        <v>317</v>
      </c>
      <c r="E87" s="177" t="s">
        <v>316</v>
      </c>
      <c r="F87" s="213" t="s">
        <v>1281</v>
      </c>
      <c r="G87" s="213" t="s">
        <v>1282</v>
      </c>
      <c r="H87" s="213"/>
      <c r="I87" s="213" t="s">
        <v>1312</v>
      </c>
      <c r="J87" s="213" t="s">
        <v>1019</v>
      </c>
      <c r="K87" s="214" t="s">
        <v>310</v>
      </c>
      <c r="L87" s="213" t="s">
        <v>1313</v>
      </c>
      <c r="M87" s="213" t="s">
        <v>1314</v>
      </c>
      <c r="N87" s="213"/>
      <c r="O87" s="213"/>
      <c r="P87" s="177">
        <v>13.4</v>
      </c>
      <c r="Q87" s="177">
        <v>6.4</v>
      </c>
      <c r="R87" s="177">
        <v>3</v>
      </c>
      <c r="S87" s="215">
        <v>730007000146</v>
      </c>
      <c r="T87" s="177">
        <v>0.8</v>
      </c>
      <c r="U87" s="178">
        <v>0.1488888888888889</v>
      </c>
      <c r="V87" s="173" t="s">
        <v>565</v>
      </c>
      <c r="W87" s="177" t="s">
        <v>335</v>
      </c>
      <c r="X87" s="177" t="s">
        <v>335</v>
      </c>
      <c r="Y87" s="177" t="s">
        <v>335</v>
      </c>
      <c r="Z87" s="177" t="s">
        <v>335</v>
      </c>
      <c r="AA87" s="177" t="s">
        <v>335</v>
      </c>
      <c r="AB87" s="178" t="e">
        <v>#VALUE!</v>
      </c>
      <c r="AC87" s="217">
        <v>8</v>
      </c>
      <c r="AM87" s="218" t="s">
        <v>987</v>
      </c>
      <c r="AN87" s="177" t="s">
        <v>988</v>
      </c>
      <c r="AO87" s="177" t="s">
        <v>989</v>
      </c>
      <c r="AQ87" s="281">
        <v>68</v>
      </c>
      <c r="AR87" s="219">
        <v>680.00000000000011</v>
      </c>
      <c r="AS87" s="220">
        <v>13.076923076923078</v>
      </c>
      <c r="AT87" s="221">
        <v>0.19230769230769232</v>
      </c>
      <c r="AU87" s="222">
        <v>4.7579999999999991</v>
      </c>
      <c r="AV87" s="189">
        <v>4</v>
      </c>
      <c r="AW87" s="223">
        <f>AV87-AC87</f>
        <v>-4</v>
      </c>
      <c r="AX87" s="177">
        <v>14</v>
      </c>
      <c r="AY87" s="177">
        <v>14</v>
      </c>
      <c r="AZ87" s="177">
        <f>13/2</f>
        <v>6.5</v>
      </c>
      <c r="BA87" s="177">
        <f>8.6/2</f>
        <v>4.3</v>
      </c>
      <c r="BG87" s="182">
        <f t="shared" si="26"/>
        <v>20.799999999999997</v>
      </c>
      <c r="BH87" s="224">
        <f t="shared" si="27"/>
        <v>1.5384615384615385</v>
      </c>
      <c r="BI87" s="182">
        <f t="shared" si="28"/>
        <v>4</v>
      </c>
      <c r="BJ87" s="182">
        <f t="shared" si="29"/>
        <v>4</v>
      </c>
      <c r="BL87" s="182"/>
      <c r="BM87" s="182"/>
      <c r="BN87" s="182"/>
      <c r="BP87" s="225">
        <f t="shared" si="30"/>
        <v>4</v>
      </c>
      <c r="BQ87" s="182">
        <f t="shared" si="31"/>
        <v>20.799999999999997</v>
      </c>
      <c r="BR87" s="173" t="s">
        <v>204</v>
      </c>
      <c r="BS87" s="226">
        <f t="shared" si="39"/>
        <v>1294.1759999999997</v>
      </c>
      <c r="BT87" s="227"/>
      <c r="BU87" s="227"/>
      <c r="BV87" s="227"/>
      <c r="BW87" s="227" t="s">
        <v>335</v>
      </c>
      <c r="BX87" s="189" t="s">
        <v>990</v>
      </c>
      <c r="BY87" s="189"/>
      <c r="CA87" s="177" t="s">
        <v>316</v>
      </c>
      <c r="CB87" s="187" t="e">
        <v>#N/A</v>
      </c>
      <c r="CC87" s="186" t="e">
        <v>#N/A</v>
      </c>
      <c r="CD87" s="186" t="e">
        <v>#N/A</v>
      </c>
      <c r="CE87" s="173" t="e">
        <v>#N/A</v>
      </c>
    </row>
    <row r="88" spans="1:89" ht="15" hidden="1" customHeight="1">
      <c r="A88" s="177" t="s">
        <v>82</v>
      </c>
      <c r="B88" s="173" t="s">
        <v>564</v>
      </c>
      <c r="C88" s="175">
        <v>35</v>
      </c>
      <c r="D88" s="173" t="s">
        <v>243</v>
      </c>
      <c r="E88" s="177" t="s">
        <v>242</v>
      </c>
      <c r="F88" s="213" t="s">
        <v>1223</v>
      </c>
      <c r="G88" s="213" t="s">
        <v>1224</v>
      </c>
      <c r="H88" s="213"/>
      <c r="I88" s="213" t="s">
        <v>1315</v>
      </c>
      <c r="J88" s="213" t="s">
        <v>1019</v>
      </c>
      <c r="K88" s="214" t="s">
        <v>239</v>
      </c>
      <c r="L88" s="213" t="s">
        <v>1316</v>
      </c>
      <c r="M88" s="213" t="s">
        <v>1317</v>
      </c>
      <c r="N88" s="213"/>
      <c r="O88" s="213"/>
      <c r="P88" s="177">
        <v>8.25</v>
      </c>
      <c r="Q88" s="177">
        <v>5</v>
      </c>
      <c r="R88" s="177">
        <v>2.5</v>
      </c>
      <c r="S88" s="215" t="s">
        <v>820</v>
      </c>
      <c r="T88" s="177">
        <v>2.1</v>
      </c>
      <c r="U88" s="178">
        <v>5.9678819444444448E-2</v>
      </c>
      <c r="V88" s="216" t="s">
        <v>565</v>
      </c>
      <c r="W88" s="217">
        <v>6</v>
      </c>
      <c r="X88" s="177">
        <v>13</v>
      </c>
      <c r="Y88" s="177">
        <v>8.5</v>
      </c>
      <c r="Z88" s="177">
        <v>7.25</v>
      </c>
      <c r="AA88" s="177">
        <v>8.16</v>
      </c>
      <c r="AB88" s="178">
        <v>0.46361400462962965</v>
      </c>
      <c r="AC88" s="177">
        <v>24</v>
      </c>
      <c r="AM88" s="218" t="s">
        <v>987</v>
      </c>
      <c r="AN88" s="177" t="s">
        <v>988</v>
      </c>
      <c r="AO88" s="177" t="s">
        <v>989</v>
      </c>
      <c r="AQ88" s="281">
        <v>68</v>
      </c>
      <c r="AR88" s="219">
        <v>476</v>
      </c>
      <c r="AS88" s="220">
        <v>9.1538461538461533</v>
      </c>
      <c r="AT88" s="221">
        <v>0.13461538461538461</v>
      </c>
      <c r="AU88" s="222">
        <v>6.0699999999999994</v>
      </c>
      <c r="AV88" s="189">
        <v>6</v>
      </c>
      <c r="AW88" s="223">
        <f>AV88-W88</f>
        <v>0</v>
      </c>
      <c r="AX88" s="177">
        <v>13</v>
      </c>
      <c r="AY88" s="177">
        <v>8.5</v>
      </c>
      <c r="AZ88" s="177">
        <v>7.25</v>
      </c>
      <c r="BA88" s="177">
        <v>8.16</v>
      </c>
      <c r="BG88" s="182">
        <f t="shared" si="26"/>
        <v>44.571428571428577</v>
      </c>
      <c r="BH88" s="224">
        <f t="shared" si="27"/>
        <v>1.0769230769230769</v>
      </c>
      <c r="BI88" s="182">
        <f t="shared" si="28"/>
        <v>6</v>
      </c>
      <c r="BJ88" s="182">
        <f t="shared" si="29"/>
        <v>6</v>
      </c>
      <c r="BL88" s="182"/>
      <c r="BM88" s="182"/>
      <c r="BN88" s="182"/>
      <c r="BP88" s="225">
        <f t="shared" si="30"/>
        <v>6</v>
      </c>
      <c r="BQ88" s="182">
        <f t="shared" si="31"/>
        <v>44.571428571428577</v>
      </c>
      <c r="BR88" s="173" t="s">
        <v>240</v>
      </c>
      <c r="BS88" s="226">
        <f t="shared" si="39"/>
        <v>2476.5599999999995</v>
      </c>
      <c r="BT88" s="227"/>
      <c r="BU88" s="227"/>
      <c r="BV88" s="227"/>
      <c r="BW88" s="227" t="s">
        <v>335</v>
      </c>
      <c r="BX88" s="189" t="s">
        <v>1014</v>
      </c>
      <c r="BY88" s="189"/>
      <c r="CA88" s="177" t="s">
        <v>242</v>
      </c>
      <c r="CB88" s="187" t="e">
        <v>#N/A</v>
      </c>
      <c r="CC88" s="186" t="e">
        <v>#N/A</v>
      </c>
      <c r="CD88" s="186" t="e">
        <v>#N/A</v>
      </c>
      <c r="CE88" s="173" t="e">
        <v>#N/A</v>
      </c>
    </row>
    <row r="89" spans="1:89" ht="15" customHeight="1">
      <c r="A89" s="177" t="s">
        <v>82</v>
      </c>
      <c r="B89" s="173" t="s">
        <v>564</v>
      </c>
      <c r="C89" s="175">
        <v>39</v>
      </c>
      <c r="D89" s="173" t="s">
        <v>326</v>
      </c>
      <c r="E89" s="177" t="s">
        <v>126</v>
      </c>
      <c r="F89" s="213" t="s">
        <v>1040</v>
      </c>
      <c r="G89" s="213" t="s">
        <v>1041</v>
      </c>
      <c r="H89" s="213" t="s">
        <v>122</v>
      </c>
      <c r="I89" s="213" t="s">
        <v>1025</v>
      </c>
      <c r="J89" s="213" t="s">
        <v>983</v>
      </c>
      <c r="K89" s="214" t="s">
        <v>272</v>
      </c>
      <c r="L89" s="213" t="s">
        <v>1318</v>
      </c>
      <c r="M89" s="213" t="s">
        <v>1319</v>
      </c>
      <c r="N89" s="213"/>
      <c r="O89" s="213"/>
      <c r="P89" s="177">
        <v>6.5</v>
      </c>
      <c r="Q89" s="177">
        <v>6.25</v>
      </c>
      <c r="R89" s="177">
        <v>4.5</v>
      </c>
      <c r="S89" s="215">
        <v>730007000153</v>
      </c>
      <c r="T89" s="177">
        <v>1</v>
      </c>
      <c r="U89" s="178">
        <v>0.10579427083333333</v>
      </c>
      <c r="V89" s="173" t="s">
        <v>572</v>
      </c>
      <c r="W89" s="177" t="s">
        <v>335</v>
      </c>
      <c r="X89" s="177" t="s">
        <v>335</v>
      </c>
      <c r="Y89" s="177" t="s">
        <v>335</v>
      </c>
      <c r="Z89" s="177" t="s">
        <v>335</v>
      </c>
      <c r="AA89" s="177" t="s">
        <v>335</v>
      </c>
      <c r="AB89" s="178" t="e">
        <v>#VALUE!</v>
      </c>
      <c r="AC89" s="217">
        <v>12</v>
      </c>
      <c r="AD89" s="177">
        <v>9</v>
      </c>
      <c r="AE89" s="177">
        <v>14.5</v>
      </c>
      <c r="AF89" s="177">
        <v>13.25</v>
      </c>
      <c r="AG89" s="177">
        <v>10.4</v>
      </c>
      <c r="AM89" s="218" t="s">
        <v>987</v>
      </c>
      <c r="AN89" s="177" t="s">
        <v>988</v>
      </c>
      <c r="AO89" s="177" t="s">
        <v>989</v>
      </c>
      <c r="AQ89" s="281">
        <v>68</v>
      </c>
      <c r="AR89" s="219">
        <v>544</v>
      </c>
      <c r="AS89" s="220">
        <v>10.461538461538462</v>
      </c>
      <c r="AT89" s="221">
        <v>0.15384615384615385</v>
      </c>
      <c r="AU89" s="222">
        <v>4.3538461538461535</v>
      </c>
      <c r="AV89" s="189">
        <v>6</v>
      </c>
      <c r="AW89" s="223">
        <f>AV89-AC89</f>
        <v>-6</v>
      </c>
      <c r="AX89" s="177">
        <v>8.5</v>
      </c>
      <c r="AY89" s="177">
        <v>14</v>
      </c>
      <c r="AZ89" s="177">
        <f>12.25/2</f>
        <v>6.125</v>
      </c>
      <c r="BA89" s="177">
        <f>8.4/2</f>
        <v>4.2</v>
      </c>
      <c r="BG89" s="182">
        <f t="shared" si="26"/>
        <v>39</v>
      </c>
      <c r="BH89" s="224">
        <f t="shared" si="27"/>
        <v>1.2307692307692308</v>
      </c>
      <c r="BI89" s="182">
        <f t="shared" si="28"/>
        <v>6</v>
      </c>
      <c r="BJ89" s="182">
        <f t="shared" si="29"/>
        <v>6</v>
      </c>
      <c r="BL89" s="182"/>
      <c r="BM89" s="182"/>
      <c r="BN89" s="182"/>
      <c r="BP89" s="225">
        <f t="shared" si="30"/>
        <v>6</v>
      </c>
      <c r="BQ89" s="182">
        <f t="shared" si="31"/>
        <v>39</v>
      </c>
      <c r="BR89" s="173" t="s">
        <v>204</v>
      </c>
      <c r="BS89" s="226">
        <f t="shared" si="39"/>
        <v>1776.3692307692309</v>
      </c>
      <c r="BT89" s="227"/>
      <c r="BU89" s="227"/>
      <c r="BV89" s="227"/>
      <c r="BW89" s="227" t="s">
        <v>335</v>
      </c>
      <c r="BX89" s="189" t="s">
        <v>990</v>
      </c>
      <c r="BY89" s="189"/>
      <c r="CA89" s="177" t="s">
        <v>126</v>
      </c>
      <c r="CB89" s="187">
        <v>469.2</v>
      </c>
      <c r="CC89" s="186">
        <v>544</v>
      </c>
      <c r="CD89" s="186">
        <v>6</v>
      </c>
      <c r="CE89" s="173">
        <v>12</v>
      </c>
      <c r="CF89" s="173">
        <f t="shared" ref="CF89:CF94" si="43">CE89</f>
        <v>12</v>
      </c>
      <c r="CG89" s="173">
        <f t="shared" ref="CG89:CG94" si="44">CE89/CD89</f>
        <v>2</v>
      </c>
      <c r="CK89" s="173">
        <f t="shared" ref="CK89:CK94" si="45">CD89-AV89</f>
        <v>0</v>
      </c>
    </row>
    <row r="90" spans="1:89" ht="15" customHeight="1">
      <c r="A90" s="177" t="s">
        <v>82</v>
      </c>
      <c r="B90" s="173" t="s">
        <v>564</v>
      </c>
      <c r="C90" s="175">
        <v>21</v>
      </c>
      <c r="D90" s="173" t="s">
        <v>619</v>
      </c>
      <c r="E90" s="177" t="s">
        <v>158</v>
      </c>
      <c r="F90" s="213" t="s">
        <v>1193</v>
      </c>
      <c r="G90" s="213" t="s">
        <v>1194</v>
      </c>
      <c r="H90" s="213" t="s">
        <v>122</v>
      </c>
      <c r="I90" s="213" t="s">
        <v>1320</v>
      </c>
      <c r="J90" s="213" t="s">
        <v>1019</v>
      </c>
      <c r="K90" s="214" t="s">
        <v>214</v>
      </c>
      <c r="L90" s="213" t="s">
        <v>1321</v>
      </c>
      <c r="M90" s="213" t="s">
        <v>1322</v>
      </c>
      <c r="N90" s="213"/>
      <c r="O90" s="213"/>
      <c r="P90" s="177">
        <v>5.7</v>
      </c>
      <c r="Q90" s="177">
        <v>3.65</v>
      </c>
      <c r="R90" s="177">
        <v>1.5</v>
      </c>
      <c r="S90" s="215" t="s">
        <v>866</v>
      </c>
      <c r="T90" s="177">
        <v>0.2</v>
      </c>
      <c r="U90" s="178">
        <v>1.8059895833333332E-2</v>
      </c>
      <c r="V90" s="173" t="s">
        <v>565</v>
      </c>
      <c r="W90" s="217">
        <v>6</v>
      </c>
      <c r="X90" s="177">
        <v>6.75</v>
      </c>
      <c r="Y90" s="177">
        <v>6</v>
      </c>
      <c r="Z90" s="177">
        <v>4.0999999999999996</v>
      </c>
      <c r="AA90" s="177">
        <v>1</v>
      </c>
      <c r="AB90" s="178">
        <v>9.6093749999999992E-2</v>
      </c>
      <c r="AC90" s="177">
        <v>24</v>
      </c>
      <c r="AD90" s="177">
        <v>7.25</v>
      </c>
      <c r="AE90" s="177">
        <v>13</v>
      </c>
      <c r="AF90" s="177">
        <v>9.1999999999999993</v>
      </c>
      <c r="AG90" s="177">
        <v>6</v>
      </c>
      <c r="AM90" s="218" t="s">
        <v>987</v>
      </c>
      <c r="AN90" s="177" t="s">
        <v>988</v>
      </c>
      <c r="AO90" s="177" t="s">
        <v>989</v>
      </c>
      <c r="AQ90" s="281">
        <v>68</v>
      </c>
      <c r="AR90" s="219">
        <v>340.00000000000006</v>
      </c>
      <c r="AS90" s="220">
        <v>6.5384615384615392</v>
      </c>
      <c r="AT90" s="221">
        <v>9.6153846153846159E-2</v>
      </c>
      <c r="AU90" s="222">
        <v>2.3723076923076918</v>
      </c>
      <c r="AV90" s="189">
        <v>6</v>
      </c>
      <c r="AW90" s="223">
        <f t="shared" ref="AW90:AW99" si="46">AV90-W90</f>
        <v>0</v>
      </c>
      <c r="AX90" s="228">
        <v>6.75</v>
      </c>
      <c r="AY90" s="177">
        <v>6</v>
      </c>
      <c r="AZ90" s="177">
        <v>4.0999999999999996</v>
      </c>
      <c r="BA90" s="177">
        <v>1</v>
      </c>
      <c r="BG90" s="182">
        <f t="shared" si="26"/>
        <v>62.4</v>
      </c>
      <c r="BH90" s="224">
        <f t="shared" si="27"/>
        <v>0.76923076923076927</v>
      </c>
      <c r="BI90" s="182">
        <f t="shared" si="28"/>
        <v>6</v>
      </c>
      <c r="BJ90" s="182">
        <f t="shared" si="29"/>
        <v>6</v>
      </c>
      <c r="BL90" s="182"/>
      <c r="BM90" s="182"/>
      <c r="BN90" s="182"/>
      <c r="BP90" s="225">
        <f t="shared" si="30"/>
        <v>6</v>
      </c>
      <c r="BQ90" s="182">
        <f t="shared" si="31"/>
        <v>62.4</v>
      </c>
      <c r="BR90" s="173" t="s">
        <v>204</v>
      </c>
      <c r="BS90" s="226">
        <f t="shared" si="39"/>
        <v>967.90153846153828</v>
      </c>
      <c r="BT90" s="227"/>
      <c r="BU90" s="227"/>
      <c r="BV90" s="227"/>
      <c r="BW90" s="227" t="s">
        <v>335</v>
      </c>
      <c r="BX90" s="230" t="s">
        <v>1091</v>
      </c>
      <c r="BY90" s="231" t="s">
        <v>1092</v>
      </c>
      <c r="CA90" s="177" t="s">
        <v>158</v>
      </c>
      <c r="CB90" s="187">
        <v>469.2</v>
      </c>
      <c r="CC90" s="186">
        <v>340.00000000000006</v>
      </c>
      <c r="CD90" s="186">
        <v>6</v>
      </c>
      <c r="CE90" s="173">
        <v>24</v>
      </c>
      <c r="CF90" s="173">
        <f t="shared" si="43"/>
        <v>24</v>
      </c>
      <c r="CG90" s="173">
        <f t="shared" si="44"/>
        <v>4</v>
      </c>
      <c r="CK90" s="173">
        <f t="shared" si="45"/>
        <v>0</v>
      </c>
    </row>
    <row r="91" spans="1:89" ht="15" customHeight="1">
      <c r="A91" s="177" t="s">
        <v>82</v>
      </c>
      <c r="B91" s="173" t="s">
        <v>564</v>
      </c>
      <c r="C91" s="175">
        <v>22</v>
      </c>
      <c r="D91" s="173" t="s">
        <v>620</v>
      </c>
      <c r="E91" s="177" t="s">
        <v>159</v>
      </c>
      <c r="F91" s="213" t="s">
        <v>1193</v>
      </c>
      <c r="G91" s="213" t="s">
        <v>1194</v>
      </c>
      <c r="H91" s="213" t="s">
        <v>122</v>
      </c>
      <c r="I91" s="213" t="s">
        <v>1320</v>
      </c>
      <c r="J91" s="213" t="s">
        <v>1019</v>
      </c>
      <c r="K91" s="214" t="s">
        <v>214</v>
      </c>
      <c r="L91" s="213" t="s">
        <v>1323</v>
      </c>
      <c r="M91" s="213" t="s">
        <v>1324</v>
      </c>
      <c r="N91" s="213"/>
      <c r="O91" s="213"/>
      <c r="P91" s="177">
        <v>5.7</v>
      </c>
      <c r="Q91" s="177">
        <v>3.65</v>
      </c>
      <c r="R91" s="177">
        <v>1.5</v>
      </c>
      <c r="S91" s="215" t="s">
        <v>867</v>
      </c>
      <c r="T91" s="177">
        <v>0.2</v>
      </c>
      <c r="U91" s="178">
        <v>1.8059895833333332E-2</v>
      </c>
      <c r="V91" s="173" t="s">
        <v>565</v>
      </c>
      <c r="W91" s="217">
        <v>6</v>
      </c>
      <c r="X91" s="177">
        <v>6.75</v>
      </c>
      <c r="Y91" s="177">
        <v>6</v>
      </c>
      <c r="Z91" s="177">
        <v>4.0999999999999996</v>
      </c>
      <c r="AA91" s="177">
        <v>1</v>
      </c>
      <c r="AB91" s="178">
        <v>9.6093749999999992E-2</v>
      </c>
      <c r="AC91" s="177">
        <v>24</v>
      </c>
      <c r="AD91" s="177">
        <v>7.25</v>
      </c>
      <c r="AE91" s="177">
        <v>13</v>
      </c>
      <c r="AF91" s="177">
        <v>9.1999999999999993</v>
      </c>
      <c r="AG91" s="177">
        <v>6</v>
      </c>
      <c r="AM91" s="218" t="s">
        <v>987</v>
      </c>
      <c r="AN91" s="177" t="s">
        <v>988</v>
      </c>
      <c r="AO91" s="177" t="s">
        <v>989</v>
      </c>
      <c r="AQ91" s="281">
        <v>68</v>
      </c>
      <c r="AR91" s="219">
        <v>340.00000000000006</v>
      </c>
      <c r="AS91" s="220">
        <v>6.5384615384615392</v>
      </c>
      <c r="AT91" s="221">
        <v>9.6153846153846159E-2</v>
      </c>
      <c r="AU91" s="222">
        <v>2.3723076923076918</v>
      </c>
      <c r="AV91" s="189">
        <v>6</v>
      </c>
      <c r="AW91" s="223">
        <f t="shared" si="46"/>
        <v>0</v>
      </c>
      <c r="AX91" s="228">
        <v>6.75</v>
      </c>
      <c r="AY91" s="177">
        <v>6</v>
      </c>
      <c r="AZ91" s="177">
        <v>4.0999999999999996</v>
      </c>
      <c r="BA91" s="177">
        <v>1</v>
      </c>
      <c r="BG91" s="182">
        <f t="shared" si="26"/>
        <v>62.4</v>
      </c>
      <c r="BH91" s="224">
        <f t="shared" si="27"/>
        <v>0.76923076923076927</v>
      </c>
      <c r="BI91" s="182">
        <f t="shared" si="28"/>
        <v>6</v>
      </c>
      <c r="BJ91" s="182">
        <f t="shared" si="29"/>
        <v>6</v>
      </c>
      <c r="BL91" s="182"/>
      <c r="BM91" s="182"/>
      <c r="BN91" s="182"/>
      <c r="BP91" s="225">
        <f t="shared" si="30"/>
        <v>6</v>
      </c>
      <c r="BQ91" s="182">
        <f t="shared" si="31"/>
        <v>62.4</v>
      </c>
      <c r="BR91" s="173" t="s">
        <v>204</v>
      </c>
      <c r="BS91" s="226">
        <f t="shared" si="39"/>
        <v>967.90153846153828</v>
      </c>
      <c r="BT91" s="227"/>
      <c r="BU91" s="227"/>
      <c r="BV91" s="227"/>
      <c r="BW91" s="227" t="s">
        <v>335</v>
      </c>
      <c r="BX91" s="230" t="s">
        <v>1091</v>
      </c>
      <c r="BY91" s="231" t="s">
        <v>1092</v>
      </c>
      <c r="CA91" s="177" t="s">
        <v>159</v>
      </c>
      <c r="CB91" s="187">
        <v>469.2</v>
      </c>
      <c r="CC91" s="186">
        <v>340.00000000000006</v>
      </c>
      <c r="CD91" s="186">
        <v>6</v>
      </c>
      <c r="CE91" s="173">
        <v>24</v>
      </c>
      <c r="CF91" s="173">
        <f t="shared" si="43"/>
        <v>24</v>
      </c>
      <c r="CG91" s="173">
        <f t="shared" si="44"/>
        <v>4</v>
      </c>
      <c r="CK91" s="173">
        <f t="shared" si="45"/>
        <v>0</v>
      </c>
    </row>
    <row r="92" spans="1:89" ht="15" customHeight="1">
      <c r="A92" s="177" t="s">
        <v>82</v>
      </c>
      <c r="B92" s="173" t="s">
        <v>564</v>
      </c>
      <c r="C92" s="175">
        <v>49</v>
      </c>
      <c r="D92" s="173" t="s">
        <v>621</v>
      </c>
      <c r="E92" s="177" t="s">
        <v>120</v>
      </c>
      <c r="F92" s="213" t="s">
        <v>1193</v>
      </c>
      <c r="G92" s="213" t="s">
        <v>1194</v>
      </c>
      <c r="H92" s="213" t="s">
        <v>122</v>
      </c>
      <c r="I92" s="213" t="s">
        <v>1325</v>
      </c>
      <c r="J92" s="213" t="s">
        <v>1031</v>
      </c>
      <c r="K92" s="214" t="s">
        <v>88</v>
      </c>
      <c r="L92" s="213" t="s">
        <v>1326</v>
      </c>
      <c r="M92" s="213" t="s">
        <v>1327</v>
      </c>
      <c r="N92" s="213"/>
      <c r="O92" s="213"/>
      <c r="P92" s="177">
        <v>5.7</v>
      </c>
      <c r="Q92" s="177">
        <v>3.65</v>
      </c>
      <c r="R92" s="177">
        <v>2.5</v>
      </c>
      <c r="S92" s="215">
        <v>730007000528</v>
      </c>
      <c r="T92" s="177">
        <v>0.36</v>
      </c>
      <c r="U92" s="178">
        <v>3.009982638888889E-2</v>
      </c>
      <c r="V92" s="173" t="s">
        <v>565</v>
      </c>
      <c r="W92" s="217">
        <v>6</v>
      </c>
      <c r="X92" s="177">
        <v>4.75</v>
      </c>
      <c r="Y92" s="177">
        <v>11.25</v>
      </c>
      <c r="Z92" s="177">
        <v>5.25</v>
      </c>
      <c r="AA92" s="177">
        <v>2.19</v>
      </c>
      <c r="AB92" s="178">
        <v>0.162353515625</v>
      </c>
      <c r="AC92" s="177">
        <v>48</v>
      </c>
      <c r="AD92" s="177">
        <v>10.5</v>
      </c>
      <c r="AE92" s="177">
        <v>11.75</v>
      </c>
      <c r="AF92" s="177">
        <v>22</v>
      </c>
      <c r="AG92" s="177">
        <v>19.52</v>
      </c>
      <c r="AM92" s="218" t="s">
        <v>987</v>
      </c>
      <c r="AN92" s="177" t="s">
        <v>988</v>
      </c>
      <c r="AO92" s="177" t="s">
        <v>989</v>
      </c>
      <c r="AQ92" s="281">
        <v>68</v>
      </c>
      <c r="AR92" s="219">
        <v>340.00000000000006</v>
      </c>
      <c r="AS92" s="220">
        <v>6.5384615384615392</v>
      </c>
      <c r="AT92" s="221">
        <v>9.6153846153846159E-2</v>
      </c>
      <c r="AU92" s="222">
        <v>2.2623076923076924</v>
      </c>
      <c r="AV92" s="189">
        <v>3</v>
      </c>
      <c r="AW92" s="223">
        <f t="shared" si="46"/>
        <v>-3</v>
      </c>
      <c r="AX92" s="177">
        <v>4.75</v>
      </c>
      <c r="AY92" s="177">
        <v>11.25</v>
      </c>
      <c r="AZ92" s="177">
        <f>5.25/2</f>
        <v>2.625</v>
      </c>
      <c r="BA92" s="177">
        <f>2.19/2</f>
        <v>1.095</v>
      </c>
      <c r="BG92" s="182">
        <f t="shared" si="26"/>
        <v>31.2</v>
      </c>
      <c r="BH92" s="224">
        <f t="shared" si="27"/>
        <v>0.76923076923076927</v>
      </c>
      <c r="BI92" s="182">
        <f t="shared" si="28"/>
        <v>3</v>
      </c>
      <c r="BJ92" s="182">
        <f t="shared" si="29"/>
        <v>3</v>
      </c>
      <c r="BL92" s="182"/>
      <c r="BM92" s="182"/>
      <c r="BN92" s="182"/>
      <c r="BP92" s="225">
        <f t="shared" si="30"/>
        <v>3</v>
      </c>
      <c r="BQ92" s="182">
        <f t="shared" si="31"/>
        <v>31.2</v>
      </c>
      <c r="BR92" s="173" t="s">
        <v>204</v>
      </c>
      <c r="BS92" s="226">
        <f t="shared" si="39"/>
        <v>461.51076923076926</v>
      </c>
      <c r="BT92" s="227"/>
      <c r="BU92" s="227"/>
      <c r="BV92" s="227"/>
      <c r="BW92" s="227" t="s">
        <v>335</v>
      </c>
      <c r="BX92" s="189" t="s">
        <v>990</v>
      </c>
      <c r="BY92" s="189"/>
      <c r="CA92" s="177" t="s">
        <v>120</v>
      </c>
      <c r="CB92" s="187">
        <v>234.6</v>
      </c>
      <c r="CC92" s="186">
        <v>340.00000000000006</v>
      </c>
      <c r="CD92" s="186">
        <v>3</v>
      </c>
      <c r="CE92" s="173">
        <v>48</v>
      </c>
      <c r="CF92" s="173">
        <f t="shared" si="43"/>
        <v>48</v>
      </c>
      <c r="CG92" s="173">
        <f t="shared" si="44"/>
        <v>16</v>
      </c>
      <c r="CK92" s="173">
        <f t="shared" si="45"/>
        <v>0</v>
      </c>
    </row>
    <row r="93" spans="1:89" ht="15" customHeight="1">
      <c r="A93" s="177" t="s">
        <v>82</v>
      </c>
      <c r="B93" s="173" t="s">
        <v>564</v>
      </c>
      <c r="C93" s="175">
        <v>23</v>
      </c>
      <c r="D93" s="173" t="s">
        <v>622</v>
      </c>
      <c r="E93" s="177" t="s">
        <v>182</v>
      </c>
      <c r="F93" s="213" t="s">
        <v>1193</v>
      </c>
      <c r="G93" s="213" t="s">
        <v>1194</v>
      </c>
      <c r="H93" s="213" t="s">
        <v>122</v>
      </c>
      <c r="I93" s="213" t="s">
        <v>1328</v>
      </c>
      <c r="J93" s="213" t="s">
        <v>1019</v>
      </c>
      <c r="K93" s="214" t="s">
        <v>214</v>
      </c>
      <c r="L93" s="213" t="s">
        <v>1329</v>
      </c>
      <c r="M93" s="213" t="s">
        <v>1330</v>
      </c>
      <c r="N93" s="213"/>
      <c r="O93" s="213"/>
      <c r="P93" s="177">
        <v>5.7</v>
      </c>
      <c r="Q93" s="177">
        <v>3.65</v>
      </c>
      <c r="R93" s="177">
        <v>1.5</v>
      </c>
      <c r="S93" s="215" t="s">
        <v>889</v>
      </c>
      <c r="T93" s="177">
        <v>0.2</v>
      </c>
      <c r="U93" s="178">
        <v>1.8059895833333332E-2</v>
      </c>
      <c r="V93" s="173" t="s">
        <v>565</v>
      </c>
      <c r="W93" s="217">
        <v>6</v>
      </c>
      <c r="X93" s="177">
        <v>6.75</v>
      </c>
      <c r="Y93" s="177">
        <v>6</v>
      </c>
      <c r="Z93" s="177">
        <v>4.0999999999999996</v>
      </c>
      <c r="AA93" s="177">
        <v>1</v>
      </c>
      <c r="AB93" s="178">
        <v>9.6093749999999992E-2</v>
      </c>
      <c r="AC93" s="177">
        <v>24</v>
      </c>
      <c r="AD93" s="177">
        <v>7.25</v>
      </c>
      <c r="AE93" s="177">
        <v>13</v>
      </c>
      <c r="AF93" s="177">
        <v>9.1999999999999993</v>
      </c>
      <c r="AG93" s="177">
        <v>6</v>
      </c>
      <c r="AM93" s="218" t="s">
        <v>987</v>
      </c>
      <c r="AN93" s="177" t="s">
        <v>988</v>
      </c>
      <c r="AO93" s="177" t="s">
        <v>989</v>
      </c>
      <c r="AQ93" s="281">
        <v>68</v>
      </c>
      <c r="AR93" s="219">
        <v>340.00000000000006</v>
      </c>
      <c r="AS93" s="220">
        <v>6.5384615384615392</v>
      </c>
      <c r="AT93" s="221">
        <v>9.6153846153846159E-2</v>
      </c>
      <c r="AU93" s="222">
        <v>2.2261538461538457</v>
      </c>
      <c r="AV93" s="189">
        <v>6</v>
      </c>
      <c r="AW93" s="223">
        <f t="shared" si="46"/>
        <v>0</v>
      </c>
      <c r="AX93" s="228">
        <v>6.75</v>
      </c>
      <c r="AY93" s="177">
        <v>6</v>
      </c>
      <c r="AZ93" s="177">
        <v>4.0999999999999996</v>
      </c>
      <c r="BA93" s="177">
        <v>1</v>
      </c>
      <c r="BG93" s="182">
        <f t="shared" si="26"/>
        <v>62.4</v>
      </c>
      <c r="BH93" s="224">
        <f t="shared" si="27"/>
        <v>0.76923076923076927</v>
      </c>
      <c r="BI93" s="182">
        <f t="shared" si="28"/>
        <v>6</v>
      </c>
      <c r="BJ93" s="182">
        <f t="shared" si="29"/>
        <v>6</v>
      </c>
      <c r="BL93" s="182"/>
      <c r="BM93" s="182"/>
      <c r="BN93" s="182"/>
      <c r="BP93" s="225">
        <f t="shared" si="30"/>
        <v>6</v>
      </c>
      <c r="BQ93" s="182">
        <f t="shared" si="31"/>
        <v>62.4</v>
      </c>
      <c r="BR93" s="173" t="s">
        <v>204</v>
      </c>
      <c r="BS93" s="226">
        <f t="shared" si="39"/>
        <v>908.27076923076902</v>
      </c>
      <c r="BT93" s="227"/>
      <c r="BU93" s="227"/>
      <c r="BV93" s="227"/>
      <c r="BW93" s="227" t="s">
        <v>335</v>
      </c>
      <c r="BX93" s="230" t="s">
        <v>1091</v>
      </c>
      <c r="BY93" s="231" t="s">
        <v>1092</v>
      </c>
      <c r="CA93" s="177" t="s">
        <v>182</v>
      </c>
      <c r="CB93" s="187">
        <v>469.2</v>
      </c>
      <c r="CC93" s="186">
        <v>340.00000000000006</v>
      </c>
      <c r="CD93" s="186">
        <v>6</v>
      </c>
      <c r="CE93" s="173">
        <v>24</v>
      </c>
      <c r="CF93" s="173">
        <f t="shared" si="43"/>
        <v>24</v>
      </c>
      <c r="CG93" s="173">
        <f t="shared" si="44"/>
        <v>4</v>
      </c>
      <c r="CK93" s="173">
        <f t="shared" si="45"/>
        <v>0</v>
      </c>
    </row>
    <row r="94" spans="1:89" ht="15" customHeight="1">
      <c r="A94" s="177" t="s">
        <v>82</v>
      </c>
      <c r="B94" s="173" t="s">
        <v>564</v>
      </c>
      <c r="C94" s="175">
        <v>24</v>
      </c>
      <c r="D94" s="173" t="s">
        <v>623</v>
      </c>
      <c r="E94" s="177" t="s">
        <v>183</v>
      </c>
      <c r="F94" s="213" t="s">
        <v>1193</v>
      </c>
      <c r="G94" s="213" t="s">
        <v>1194</v>
      </c>
      <c r="H94" s="213" t="s">
        <v>122</v>
      </c>
      <c r="I94" s="213" t="s">
        <v>1328</v>
      </c>
      <c r="J94" s="213" t="s">
        <v>1019</v>
      </c>
      <c r="K94" s="214" t="s">
        <v>214</v>
      </c>
      <c r="L94" s="213" t="s">
        <v>1331</v>
      </c>
      <c r="M94" s="213" t="s">
        <v>1332</v>
      </c>
      <c r="N94" s="213"/>
      <c r="O94" s="213"/>
      <c r="P94" s="177">
        <v>5.7</v>
      </c>
      <c r="Q94" s="177">
        <v>3.65</v>
      </c>
      <c r="R94" s="177">
        <v>1.5</v>
      </c>
      <c r="S94" s="215" t="s">
        <v>890</v>
      </c>
      <c r="T94" s="177">
        <v>0.2</v>
      </c>
      <c r="U94" s="178">
        <v>1.8059895833333332E-2</v>
      </c>
      <c r="V94" s="173" t="s">
        <v>565</v>
      </c>
      <c r="W94" s="217">
        <v>6</v>
      </c>
      <c r="X94" s="177">
        <v>6.75</v>
      </c>
      <c r="Y94" s="177">
        <v>6</v>
      </c>
      <c r="Z94" s="177">
        <v>4.0999999999999996</v>
      </c>
      <c r="AA94" s="177">
        <v>1</v>
      </c>
      <c r="AB94" s="178">
        <v>9.6093749999999992E-2</v>
      </c>
      <c r="AC94" s="177">
        <v>24</v>
      </c>
      <c r="AD94" s="177">
        <v>7.25</v>
      </c>
      <c r="AE94" s="177">
        <v>13</v>
      </c>
      <c r="AF94" s="177">
        <v>9.1999999999999993</v>
      </c>
      <c r="AG94" s="177">
        <v>6</v>
      </c>
      <c r="AM94" s="218" t="s">
        <v>987</v>
      </c>
      <c r="AN94" s="177" t="s">
        <v>988</v>
      </c>
      <c r="AO94" s="177" t="s">
        <v>989</v>
      </c>
      <c r="AQ94" s="281">
        <v>68</v>
      </c>
      <c r="AR94" s="219">
        <v>340.00000000000006</v>
      </c>
      <c r="AS94" s="220">
        <v>6.5384615384615392</v>
      </c>
      <c r="AT94" s="221">
        <v>9.6153846153846159E-2</v>
      </c>
      <c r="AU94" s="222">
        <v>2.2261538461538457</v>
      </c>
      <c r="AV94" s="189">
        <v>6</v>
      </c>
      <c r="AW94" s="223">
        <f t="shared" si="46"/>
        <v>0</v>
      </c>
      <c r="AX94" s="228">
        <v>6.75</v>
      </c>
      <c r="AY94" s="177">
        <v>6</v>
      </c>
      <c r="AZ94" s="177">
        <v>4.0999999999999996</v>
      </c>
      <c r="BA94" s="177">
        <v>1</v>
      </c>
      <c r="BG94" s="182">
        <f t="shared" si="26"/>
        <v>62.4</v>
      </c>
      <c r="BH94" s="224">
        <f t="shared" si="27"/>
        <v>0.76923076923076927</v>
      </c>
      <c r="BI94" s="182">
        <f t="shared" si="28"/>
        <v>6</v>
      </c>
      <c r="BJ94" s="182">
        <f t="shared" si="29"/>
        <v>6</v>
      </c>
      <c r="BL94" s="182"/>
      <c r="BM94" s="182"/>
      <c r="BN94" s="182"/>
      <c r="BP94" s="225">
        <f t="shared" si="30"/>
        <v>6</v>
      </c>
      <c r="BQ94" s="182">
        <f t="shared" si="31"/>
        <v>62.4</v>
      </c>
      <c r="BR94" s="173" t="s">
        <v>204</v>
      </c>
      <c r="BS94" s="226">
        <f t="shared" si="39"/>
        <v>908.27076923076902</v>
      </c>
      <c r="BT94" s="227"/>
      <c r="BU94" s="227"/>
      <c r="BV94" s="227"/>
      <c r="BW94" s="227" t="s">
        <v>335</v>
      </c>
      <c r="BX94" s="230" t="s">
        <v>1091</v>
      </c>
      <c r="BY94" s="231" t="s">
        <v>1092</v>
      </c>
      <c r="CA94" s="177" t="s">
        <v>183</v>
      </c>
      <c r="CB94" s="187">
        <v>469.2</v>
      </c>
      <c r="CC94" s="186">
        <v>340.00000000000006</v>
      </c>
      <c r="CD94" s="186">
        <v>6</v>
      </c>
      <c r="CE94" s="173">
        <v>24</v>
      </c>
      <c r="CF94" s="173">
        <f t="shared" si="43"/>
        <v>24</v>
      </c>
      <c r="CG94" s="173">
        <f t="shared" si="44"/>
        <v>4</v>
      </c>
      <c r="CK94" s="173">
        <f t="shared" si="45"/>
        <v>0</v>
      </c>
    </row>
    <row r="95" spans="1:89" ht="15" hidden="1" customHeight="1">
      <c r="A95" s="177" t="s">
        <v>82</v>
      </c>
      <c r="B95" s="173" t="s">
        <v>564</v>
      </c>
      <c r="C95" s="175">
        <v>3</v>
      </c>
      <c r="D95" s="173" t="s">
        <v>624</v>
      </c>
      <c r="E95" s="177" t="s">
        <v>457</v>
      </c>
      <c r="F95" s="213" t="s">
        <v>1333</v>
      </c>
      <c r="G95" s="213" t="s">
        <v>1334</v>
      </c>
      <c r="H95" s="213"/>
      <c r="I95" s="213" t="s">
        <v>1335</v>
      </c>
      <c r="J95" s="213" t="s">
        <v>1031</v>
      </c>
      <c r="K95" s="214" t="s">
        <v>88</v>
      </c>
      <c r="L95" s="213"/>
      <c r="M95" s="213"/>
      <c r="N95" s="213" t="s">
        <v>1336</v>
      </c>
      <c r="O95" s="213"/>
      <c r="P95" s="177">
        <v>5.7</v>
      </c>
      <c r="Q95" s="177">
        <v>3.65</v>
      </c>
      <c r="R95" s="177">
        <v>1.5</v>
      </c>
      <c r="S95" s="215" t="s">
        <v>878</v>
      </c>
      <c r="T95" s="177">
        <v>0.3</v>
      </c>
      <c r="U95" s="178">
        <v>1.8059895833333332E-2</v>
      </c>
      <c r="V95" s="173" t="s">
        <v>565</v>
      </c>
      <c r="W95" s="217">
        <v>3</v>
      </c>
      <c r="X95" s="177">
        <v>5.8</v>
      </c>
      <c r="Y95" s="177">
        <v>3.8</v>
      </c>
      <c r="Z95" s="177">
        <v>4.8499999999999996</v>
      </c>
      <c r="AA95" s="177">
        <v>0.9</v>
      </c>
      <c r="AB95" s="178">
        <v>6.1859953703703702E-2</v>
      </c>
      <c r="AC95" s="177">
        <v>24</v>
      </c>
      <c r="AM95" s="218" t="s">
        <v>987</v>
      </c>
      <c r="AN95" s="177" t="s">
        <v>988</v>
      </c>
      <c r="AO95" s="177" t="s">
        <v>989</v>
      </c>
      <c r="AQ95" s="281">
        <v>68</v>
      </c>
      <c r="AR95" s="219">
        <v>680.00000000000011</v>
      </c>
      <c r="AS95" s="220">
        <v>13.076923076923078</v>
      </c>
      <c r="AT95" s="221">
        <v>0.19230769230769232</v>
      </c>
      <c r="AU95" s="222">
        <v>2.2599999999999998</v>
      </c>
      <c r="AV95" s="189">
        <v>5</v>
      </c>
      <c r="AW95" s="223">
        <f t="shared" si="46"/>
        <v>2</v>
      </c>
      <c r="AX95" s="177">
        <v>5.8</v>
      </c>
      <c r="AY95" s="177">
        <v>3.8</v>
      </c>
      <c r="AZ95" s="229">
        <v>7</v>
      </c>
      <c r="BA95" s="229">
        <v>1.4</v>
      </c>
      <c r="BB95" s="229"/>
      <c r="BC95" s="229"/>
      <c r="BD95" s="229"/>
      <c r="BE95" s="229"/>
      <c r="BF95" s="229"/>
      <c r="BG95" s="182">
        <f t="shared" si="26"/>
        <v>26</v>
      </c>
      <c r="BH95" s="224">
        <f t="shared" si="27"/>
        <v>1.5384615384615385</v>
      </c>
      <c r="BI95" s="182">
        <f t="shared" si="28"/>
        <v>5</v>
      </c>
      <c r="BJ95" s="182">
        <f t="shared" si="29"/>
        <v>5</v>
      </c>
      <c r="BL95" s="182"/>
      <c r="BM95" s="182"/>
      <c r="BN95" s="182"/>
      <c r="BP95" s="225">
        <f t="shared" si="30"/>
        <v>5</v>
      </c>
      <c r="BQ95" s="182">
        <f t="shared" si="31"/>
        <v>26</v>
      </c>
      <c r="BR95" s="173" t="s">
        <v>217</v>
      </c>
      <c r="BS95" s="226">
        <f t="shared" si="39"/>
        <v>768.4</v>
      </c>
      <c r="BT95" s="227"/>
      <c r="BU95" s="227"/>
      <c r="BV95" s="227"/>
      <c r="BW95" s="227" t="s">
        <v>335</v>
      </c>
      <c r="BX95" s="230" t="s">
        <v>1091</v>
      </c>
      <c r="BY95" s="189" t="s">
        <v>1123</v>
      </c>
      <c r="CA95" s="177" t="s">
        <v>457</v>
      </c>
      <c r="CB95" s="187" t="e">
        <v>#N/A</v>
      </c>
      <c r="CC95" s="186" t="e">
        <v>#N/A</v>
      </c>
      <c r="CD95" s="186" t="e">
        <v>#N/A</v>
      </c>
      <c r="CE95" s="173" t="e">
        <v>#N/A</v>
      </c>
    </row>
    <row r="96" spans="1:89" ht="15" customHeight="1">
      <c r="A96" s="177" t="s">
        <v>82</v>
      </c>
      <c r="B96" s="173" t="s">
        <v>564</v>
      </c>
      <c r="C96" s="175">
        <v>28</v>
      </c>
      <c r="D96" s="173" t="s">
        <v>349</v>
      </c>
      <c r="E96" s="177" t="s">
        <v>134</v>
      </c>
      <c r="F96" s="213" t="s">
        <v>1086</v>
      </c>
      <c r="G96" s="213" t="s">
        <v>1087</v>
      </c>
      <c r="H96" s="213" t="s">
        <v>73</v>
      </c>
      <c r="I96" s="213" t="s">
        <v>1051</v>
      </c>
      <c r="J96" s="213" t="s">
        <v>1031</v>
      </c>
      <c r="K96" s="214" t="s">
        <v>214</v>
      </c>
      <c r="L96" s="213" t="s">
        <v>1337</v>
      </c>
      <c r="M96" s="213" t="s">
        <v>1338</v>
      </c>
      <c r="N96" s="213"/>
      <c r="O96" s="213"/>
      <c r="P96" s="177">
        <v>5.7</v>
      </c>
      <c r="Q96" s="177">
        <v>3.65</v>
      </c>
      <c r="R96" s="177">
        <v>1.25</v>
      </c>
      <c r="S96" s="215" t="s">
        <v>846</v>
      </c>
      <c r="T96" s="177">
        <v>0.21</v>
      </c>
      <c r="U96" s="178">
        <v>1.5049913194444445E-2</v>
      </c>
      <c r="V96" s="173" t="s">
        <v>565</v>
      </c>
      <c r="W96" s="217">
        <v>6</v>
      </c>
      <c r="X96" s="177">
        <v>6.75</v>
      </c>
      <c r="Y96" s="177">
        <v>6</v>
      </c>
      <c r="Z96" s="177">
        <v>4.0999999999999996</v>
      </c>
      <c r="AA96" s="177">
        <v>1.25</v>
      </c>
      <c r="AB96" s="178">
        <v>9.6093749999999992E-2</v>
      </c>
      <c r="AC96" s="177">
        <v>24</v>
      </c>
      <c r="AD96" s="177">
        <v>7.25</v>
      </c>
      <c r="AE96" s="177">
        <v>13</v>
      </c>
      <c r="AF96" s="177">
        <v>9.1999999999999993</v>
      </c>
      <c r="AG96" s="177">
        <v>7</v>
      </c>
      <c r="AM96" s="218" t="s">
        <v>987</v>
      </c>
      <c r="AN96" s="177" t="s">
        <v>988</v>
      </c>
      <c r="AO96" s="177" t="s">
        <v>989</v>
      </c>
      <c r="AQ96" s="281">
        <v>68</v>
      </c>
      <c r="AR96" s="219">
        <v>680.00000000000011</v>
      </c>
      <c r="AS96" s="220">
        <v>13.076923076923078</v>
      </c>
      <c r="AT96" s="221">
        <v>0.19230769230769232</v>
      </c>
      <c r="AU96" s="222">
        <v>1.7538461538461536</v>
      </c>
      <c r="AV96" s="189">
        <v>6</v>
      </c>
      <c r="AW96" s="223">
        <f t="shared" si="46"/>
        <v>0</v>
      </c>
      <c r="AX96" s="228">
        <v>6.75</v>
      </c>
      <c r="AY96" s="177">
        <v>6</v>
      </c>
      <c r="AZ96" s="177">
        <v>4.0999999999999996</v>
      </c>
      <c r="BA96" s="177">
        <v>1.25</v>
      </c>
      <c r="BG96" s="182">
        <f t="shared" si="26"/>
        <v>31.2</v>
      </c>
      <c r="BH96" s="224">
        <f t="shared" si="27"/>
        <v>1.5384615384615385</v>
      </c>
      <c r="BI96" s="182">
        <f t="shared" si="28"/>
        <v>6</v>
      </c>
      <c r="BJ96" s="182">
        <f t="shared" si="29"/>
        <v>6</v>
      </c>
      <c r="BL96" s="182"/>
      <c r="BM96" s="182"/>
      <c r="BN96" s="182"/>
      <c r="BP96" s="225">
        <f t="shared" si="30"/>
        <v>6</v>
      </c>
      <c r="BQ96" s="182">
        <f t="shared" si="31"/>
        <v>31.2</v>
      </c>
      <c r="BR96" s="173" t="s">
        <v>204</v>
      </c>
      <c r="BS96" s="226">
        <f t="shared" si="39"/>
        <v>715.56923076923067</v>
      </c>
      <c r="BT96" s="227"/>
      <c r="BU96" s="227"/>
      <c r="BV96" s="227"/>
      <c r="BW96" s="227" t="s">
        <v>335</v>
      </c>
      <c r="BX96" s="230" t="s">
        <v>1091</v>
      </c>
      <c r="BY96" s="231" t="s">
        <v>1092</v>
      </c>
      <c r="CA96" s="177" t="s">
        <v>134</v>
      </c>
      <c r="CB96" s="187">
        <v>469.2</v>
      </c>
      <c r="CC96" s="186">
        <v>680.00000000000011</v>
      </c>
      <c r="CD96" s="186">
        <v>6</v>
      </c>
      <c r="CE96" s="173">
        <v>24</v>
      </c>
      <c r="CF96" s="173">
        <f t="shared" ref="CF96:CF98" si="47">CE96</f>
        <v>24</v>
      </c>
      <c r="CG96" s="173">
        <f t="shared" ref="CG96:CG98" si="48">CE96/CD96</f>
        <v>4</v>
      </c>
      <c r="CK96" s="173">
        <f t="shared" ref="CK96:CK98" si="49">CD96-AV96</f>
        <v>0</v>
      </c>
    </row>
    <row r="97" spans="1:89" ht="15" customHeight="1">
      <c r="A97" s="177" t="s">
        <v>82</v>
      </c>
      <c r="B97" s="173" t="s">
        <v>564</v>
      </c>
      <c r="C97" s="175">
        <v>34</v>
      </c>
      <c r="D97" s="173" t="s">
        <v>347</v>
      </c>
      <c r="E97" s="177" t="s">
        <v>133</v>
      </c>
      <c r="F97" s="213" t="s">
        <v>1086</v>
      </c>
      <c r="G97" s="213" t="s">
        <v>1087</v>
      </c>
      <c r="H97" s="213" t="s">
        <v>73</v>
      </c>
      <c r="I97" s="213" t="s">
        <v>1339</v>
      </c>
      <c r="J97" s="213" t="s">
        <v>1031</v>
      </c>
      <c r="K97" s="214" t="s">
        <v>214</v>
      </c>
      <c r="L97" s="213" t="s">
        <v>1340</v>
      </c>
      <c r="M97" s="213" t="s">
        <v>1341</v>
      </c>
      <c r="N97" s="213"/>
      <c r="O97" s="213"/>
      <c r="P97" s="177">
        <v>5.7</v>
      </c>
      <c r="Q97" s="177">
        <v>3.65</v>
      </c>
      <c r="R97" s="177">
        <v>1.25</v>
      </c>
      <c r="S97" s="215" t="s">
        <v>845</v>
      </c>
      <c r="T97" s="177">
        <v>0.19</v>
      </c>
      <c r="U97" s="178">
        <v>1.5049913194444445E-2</v>
      </c>
      <c r="V97" s="173" t="s">
        <v>565</v>
      </c>
      <c r="W97" s="217">
        <v>6</v>
      </c>
      <c r="X97" s="177">
        <v>6.75</v>
      </c>
      <c r="Y97" s="177">
        <v>6</v>
      </c>
      <c r="Z97" s="177">
        <v>4.0999999999999996</v>
      </c>
      <c r="AA97" s="177">
        <v>1.1299999999999999</v>
      </c>
      <c r="AB97" s="178">
        <v>9.6093749999999992E-2</v>
      </c>
      <c r="AC97" s="177">
        <v>24</v>
      </c>
      <c r="AD97" s="177">
        <v>7.25</v>
      </c>
      <c r="AE97" s="177">
        <v>13</v>
      </c>
      <c r="AF97" s="177">
        <v>9.1999999999999993</v>
      </c>
      <c r="AG97" s="177">
        <v>6.52</v>
      </c>
      <c r="AM97" s="218" t="s">
        <v>987</v>
      </c>
      <c r="AN97" s="177" t="s">
        <v>988</v>
      </c>
      <c r="AO97" s="177" t="s">
        <v>989</v>
      </c>
      <c r="AQ97" s="281">
        <v>68</v>
      </c>
      <c r="AR97" s="219">
        <v>408</v>
      </c>
      <c r="AS97" s="220">
        <v>7.8461538461538458</v>
      </c>
      <c r="AT97" s="221">
        <v>0.11538461538461538</v>
      </c>
      <c r="AU97" s="222">
        <v>1.5740000000000001</v>
      </c>
      <c r="AV97" s="189">
        <v>6</v>
      </c>
      <c r="AW97" s="223">
        <f t="shared" si="46"/>
        <v>0</v>
      </c>
      <c r="AX97" s="228">
        <v>6.75</v>
      </c>
      <c r="AY97" s="177">
        <v>6</v>
      </c>
      <c r="AZ97" s="177">
        <v>4.0999999999999996</v>
      </c>
      <c r="BA97" s="177">
        <v>1.1299999999999999</v>
      </c>
      <c r="BG97" s="182">
        <f t="shared" si="26"/>
        <v>52</v>
      </c>
      <c r="BH97" s="224">
        <f t="shared" si="27"/>
        <v>0.92307692307692302</v>
      </c>
      <c r="BI97" s="182">
        <f t="shared" si="28"/>
        <v>6</v>
      </c>
      <c r="BJ97" s="182">
        <f t="shared" si="29"/>
        <v>6</v>
      </c>
      <c r="BL97" s="182"/>
      <c r="BM97" s="182"/>
      <c r="BN97" s="182"/>
      <c r="BP97" s="225">
        <f t="shared" si="30"/>
        <v>6</v>
      </c>
      <c r="BQ97" s="182">
        <f t="shared" si="31"/>
        <v>52</v>
      </c>
      <c r="BR97" s="173" t="s">
        <v>204</v>
      </c>
      <c r="BS97" s="226">
        <f t="shared" si="39"/>
        <v>642.19200000000001</v>
      </c>
      <c r="BT97" s="227"/>
      <c r="BU97" s="227"/>
      <c r="BV97" s="227"/>
      <c r="BW97" s="227" t="s">
        <v>335</v>
      </c>
      <c r="BX97" s="230" t="s">
        <v>1091</v>
      </c>
      <c r="BY97" s="231" t="s">
        <v>1092</v>
      </c>
      <c r="CA97" s="177" t="s">
        <v>133</v>
      </c>
      <c r="CB97" s="187">
        <v>469.2</v>
      </c>
      <c r="CC97" s="186">
        <v>408</v>
      </c>
      <c r="CD97" s="186">
        <v>6</v>
      </c>
      <c r="CE97" s="173">
        <v>24</v>
      </c>
      <c r="CF97" s="173">
        <f t="shared" si="47"/>
        <v>24</v>
      </c>
      <c r="CG97" s="173">
        <f t="shared" si="48"/>
        <v>4</v>
      </c>
      <c r="CK97" s="173">
        <f t="shared" si="49"/>
        <v>0</v>
      </c>
    </row>
    <row r="98" spans="1:89" ht="15" customHeight="1">
      <c r="A98" s="177" t="s">
        <v>82</v>
      </c>
      <c r="B98" s="173" t="s">
        <v>564</v>
      </c>
      <c r="C98" s="175">
        <v>50</v>
      </c>
      <c r="D98" s="173" t="s">
        <v>625</v>
      </c>
      <c r="E98" s="177" t="s">
        <v>121</v>
      </c>
      <c r="F98" s="213" t="s">
        <v>1342</v>
      </c>
      <c r="G98" s="213" t="s">
        <v>1343</v>
      </c>
      <c r="H98" s="213" t="s">
        <v>73</v>
      </c>
      <c r="I98" s="213" t="s">
        <v>1344</v>
      </c>
      <c r="J98" s="213" t="s">
        <v>1031</v>
      </c>
      <c r="K98" s="214" t="s">
        <v>88</v>
      </c>
      <c r="L98" s="213" t="s">
        <v>1345</v>
      </c>
      <c r="M98" s="213" t="s">
        <v>1346</v>
      </c>
      <c r="N98" s="213"/>
      <c r="O98" s="213"/>
      <c r="P98" s="177">
        <v>5.7</v>
      </c>
      <c r="Q98" s="177">
        <v>3.65</v>
      </c>
      <c r="R98" s="177">
        <v>1.5</v>
      </c>
      <c r="S98" s="215">
        <v>730007000573</v>
      </c>
      <c r="T98" s="177">
        <v>0.34</v>
      </c>
      <c r="U98" s="178">
        <v>1.8059895833333332E-2</v>
      </c>
      <c r="V98" s="173" t="s">
        <v>565</v>
      </c>
      <c r="W98" s="217">
        <v>6</v>
      </c>
      <c r="X98" s="177">
        <v>5</v>
      </c>
      <c r="Y98" s="177">
        <v>12</v>
      </c>
      <c r="Z98" s="177">
        <v>5</v>
      </c>
      <c r="AA98" s="177">
        <v>2.06</v>
      </c>
      <c r="AB98" s="178">
        <v>0.1736111111111111</v>
      </c>
      <c r="AC98" s="177">
        <v>48</v>
      </c>
      <c r="AD98" s="177">
        <v>11</v>
      </c>
      <c r="AE98" s="177">
        <v>25</v>
      </c>
      <c r="AF98" s="177">
        <v>11</v>
      </c>
      <c r="AG98" s="177">
        <v>18.48</v>
      </c>
      <c r="AM98" s="218" t="s">
        <v>987</v>
      </c>
      <c r="AN98" s="177" t="s">
        <v>988</v>
      </c>
      <c r="AO98" s="177" t="s">
        <v>989</v>
      </c>
      <c r="AQ98" s="281">
        <v>68</v>
      </c>
      <c r="AR98" s="219">
        <v>340.00000000000006</v>
      </c>
      <c r="AS98" s="220">
        <v>6.5384615384615392</v>
      </c>
      <c r="AT98" s="221">
        <v>9.6153846153846159E-2</v>
      </c>
      <c r="AU98" s="222">
        <v>1.4738461538461538</v>
      </c>
      <c r="AV98" s="189">
        <v>3</v>
      </c>
      <c r="AW98" s="223">
        <f t="shared" si="46"/>
        <v>-3</v>
      </c>
      <c r="AX98" s="177">
        <v>5</v>
      </c>
      <c r="AY98" s="177">
        <v>12</v>
      </c>
      <c r="AZ98" s="177">
        <f>5/2</f>
        <v>2.5</v>
      </c>
      <c r="BA98" s="177">
        <f>2.06/2</f>
        <v>1.03</v>
      </c>
      <c r="BG98" s="182">
        <f t="shared" si="26"/>
        <v>31.2</v>
      </c>
      <c r="BH98" s="224">
        <f t="shared" si="27"/>
        <v>0.76923076923076927</v>
      </c>
      <c r="BI98" s="182">
        <f t="shared" si="28"/>
        <v>3</v>
      </c>
      <c r="BJ98" s="182">
        <f t="shared" si="29"/>
        <v>3</v>
      </c>
      <c r="BL98" s="182"/>
      <c r="BM98" s="182"/>
      <c r="BN98" s="182"/>
      <c r="BP98" s="225">
        <f t="shared" si="30"/>
        <v>3</v>
      </c>
      <c r="BQ98" s="182">
        <f t="shared" si="31"/>
        <v>31.2</v>
      </c>
      <c r="BR98" s="173" t="s">
        <v>204</v>
      </c>
      <c r="BS98" s="226">
        <f t="shared" si="39"/>
        <v>300.66461538461539</v>
      </c>
      <c r="BT98" s="227"/>
      <c r="BU98" s="227"/>
      <c r="BV98" s="227"/>
      <c r="BW98" s="227" t="s">
        <v>335</v>
      </c>
      <c r="BX98" s="189" t="s">
        <v>990</v>
      </c>
      <c r="BY98" s="189"/>
      <c r="CA98" s="177" t="s">
        <v>121</v>
      </c>
      <c r="CB98" s="187">
        <v>234.6</v>
      </c>
      <c r="CC98" s="186">
        <v>340.00000000000006</v>
      </c>
      <c r="CD98" s="186">
        <v>3</v>
      </c>
      <c r="CE98" s="173">
        <v>48</v>
      </c>
      <c r="CF98" s="173">
        <f t="shared" si="47"/>
        <v>48</v>
      </c>
      <c r="CG98" s="173">
        <f t="shared" si="48"/>
        <v>16</v>
      </c>
      <c r="CK98" s="173">
        <f t="shared" si="49"/>
        <v>0</v>
      </c>
    </row>
    <row r="99" spans="1:89" ht="15" hidden="1" customHeight="1">
      <c r="A99" s="177" t="s">
        <v>82</v>
      </c>
      <c r="B99" s="173" t="s">
        <v>564</v>
      </c>
      <c r="C99" s="175">
        <v>4</v>
      </c>
      <c r="D99" s="173" t="s">
        <v>626</v>
      </c>
      <c r="E99" s="177" t="s">
        <v>459</v>
      </c>
      <c r="F99" s="213" t="s">
        <v>1333</v>
      </c>
      <c r="G99" s="213" t="s">
        <v>1334</v>
      </c>
      <c r="H99" s="213"/>
      <c r="I99" s="213" t="s">
        <v>1347</v>
      </c>
      <c r="J99" s="213" t="s">
        <v>1031</v>
      </c>
      <c r="K99" s="214" t="s">
        <v>88</v>
      </c>
      <c r="L99" s="213"/>
      <c r="M99" s="213"/>
      <c r="N99" s="213" t="s">
        <v>1336</v>
      </c>
      <c r="O99" s="213"/>
      <c r="P99" s="177">
        <v>5.7</v>
      </c>
      <c r="Q99" s="177">
        <v>3.65</v>
      </c>
      <c r="R99" s="177">
        <v>1.5</v>
      </c>
      <c r="S99" s="215" t="s">
        <v>879</v>
      </c>
      <c r="T99" s="177">
        <v>0.3</v>
      </c>
      <c r="U99" s="178">
        <v>1.8059895833333332E-2</v>
      </c>
      <c r="V99" s="173" t="s">
        <v>565</v>
      </c>
      <c r="W99" s="217">
        <v>3</v>
      </c>
      <c r="X99" s="177">
        <v>5.8</v>
      </c>
      <c r="Y99" s="177">
        <v>3.8</v>
      </c>
      <c r="Z99" s="177">
        <v>4.8499999999999996</v>
      </c>
      <c r="AA99" s="177">
        <v>0.9</v>
      </c>
      <c r="AB99" s="178">
        <v>6.1859953703703702E-2</v>
      </c>
      <c r="AC99" s="177">
        <v>24</v>
      </c>
      <c r="AM99" s="218" t="s">
        <v>987</v>
      </c>
      <c r="AN99" s="177" t="s">
        <v>988</v>
      </c>
      <c r="AO99" s="177" t="s">
        <v>989</v>
      </c>
      <c r="AQ99" s="281">
        <v>68</v>
      </c>
      <c r="AR99" s="219">
        <v>544</v>
      </c>
      <c r="AS99" s="220">
        <v>10.461538461538462</v>
      </c>
      <c r="AT99" s="221">
        <v>0.15384615384615385</v>
      </c>
      <c r="AU99" s="222">
        <v>2.31</v>
      </c>
      <c r="AV99" s="189">
        <v>5</v>
      </c>
      <c r="AW99" s="223">
        <f t="shared" si="46"/>
        <v>2</v>
      </c>
      <c r="AX99" s="177">
        <v>5.8</v>
      </c>
      <c r="AY99" s="177">
        <v>3.8</v>
      </c>
      <c r="AZ99" s="229">
        <v>7</v>
      </c>
      <c r="BA99" s="229">
        <v>1.4</v>
      </c>
      <c r="BB99" s="229"/>
      <c r="BC99" s="229"/>
      <c r="BD99" s="229"/>
      <c r="BE99" s="229"/>
      <c r="BF99" s="229"/>
      <c r="BG99" s="182">
        <f t="shared" si="26"/>
        <v>32.5</v>
      </c>
      <c r="BH99" s="224">
        <f t="shared" si="27"/>
        <v>1.2307692307692308</v>
      </c>
      <c r="BI99" s="182">
        <f t="shared" si="28"/>
        <v>5</v>
      </c>
      <c r="BJ99" s="182">
        <f t="shared" si="29"/>
        <v>5</v>
      </c>
      <c r="BL99" s="182"/>
      <c r="BM99" s="182"/>
      <c r="BN99" s="182"/>
      <c r="BP99" s="225">
        <f t="shared" si="30"/>
        <v>5</v>
      </c>
      <c r="BQ99" s="182">
        <f t="shared" si="31"/>
        <v>32.5</v>
      </c>
      <c r="BR99" s="173" t="s">
        <v>217</v>
      </c>
      <c r="BS99" s="226">
        <f t="shared" si="39"/>
        <v>785.40000000000009</v>
      </c>
      <c r="BT99" s="227"/>
      <c r="BU99" s="227"/>
      <c r="BV99" s="227"/>
      <c r="BW99" s="227" t="s">
        <v>335</v>
      </c>
      <c r="BX99" s="230" t="s">
        <v>1091</v>
      </c>
      <c r="BY99" s="189" t="s">
        <v>1123</v>
      </c>
      <c r="CA99" s="177" t="s">
        <v>459</v>
      </c>
      <c r="CB99" s="187" t="e">
        <v>#N/A</v>
      </c>
      <c r="CC99" s="186" t="e">
        <v>#N/A</v>
      </c>
      <c r="CD99" s="186" t="e">
        <v>#N/A</v>
      </c>
      <c r="CE99" s="173" t="e">
        <v>#N/A</v>
      </c>
    </row>
    <row r="100" spans="1:89" ht="15" customHeight="1">
      <c r="A100" s="177" t="s">
        <v>82</v>
      </c>
      <c r="B100" s="173" t="s">
        <v>564</v>
      </c>
      <c r="C100" s="175">
        <v>10</v>
      </c>
      <c r="D100" s="173" t="s">
        <v>314</v>
      </c>
      <c r="E100" s="177" t="s">
        <v>123</v>
      </c>
      <c r="F100" s="213" t="s">
        <v>1074</v>
      </c>
      <c r="G100" s="213" t="s">
        <v>1075</v>
      </c>
      <c r="H100" s="213" t="s">
        <v>1348</v>
      </c>
      <c r="I100" s="213" t="s">
        <v>1145</v>
      </c>
      <c r="J100" s="213" t="s">
        <v>1216</v>
      </c>
      <c r="K100" s="214" t="s">
        <v>310</v>
      </c>
      <c r="L100" s="213" t="s">
        <v>1349</v>
      </c>
      <c r="M100" s="213" t="s">
        <v>1350</v>
      </c>
      <c r="N100" s="213" t="s">
        <v>1351</v>
      </c>
      <c r="O100" s="213"/>
      <c r="P100" s="177">
        <v>7.87</v>
      </c>
      <c r="Q100" s="177">
        <v>5</v>
      </c>
      <c r="R100" s="177">
        <v>4.5</v>
      </c>
      <c r="S100" s="215" t="s">
        <v>841</v>
      </c>
      <c r="T100" s="177">
        <v>0.6</v>
      </c>
      <c r="U100" s="178">
        <v>0.10247395833333334</v>
      </c>
      <c r="V100" s="173" t="s">
        <v>565</v>
      </c>
      <c r="W100" s="177" t="s">
        <v>335</v>
      </c>
      <c r="X100" s="177" t="s">
        <v>335</v>
      </c>
      <c r="Y100" s="177" t="s">
        <v>335</v>
      </c>
      <c r="Z100" s="177" t="s">
        <v>335</v>
      </c>
      <c r="AA100" s="177" t="s">
        <v>335</v>
      </c>
      <c r="AB100" s="178" t="e">
        <v>#VALUE!</v>
      </c>
      <c r="AC100" s="217">
        <v>12</v>
      </c>
      <c r="AD100" s="177">
        <v>14.4</v>
      </c>
      <c r="AE100" s="177">
        <v>8.5</v>
      </c>
      <c r="AF100" s="177">
        <v>8.5</v>
      </c>
      <c r="AG100" s="177">
        <v>9.75</v>
      </c>
      <c r="AM100" s="218" t="s">
        <v>987</v>
      </c>
      <c r="AN100" s="177" t="s">
        <v>988</v>
      </c>
      <c r="AO100" s="177" t="s">
        <v>989</v>
      </c>
      <c r="AQ100" s="281">
        <v>68</v>
      </c>
      <c r="AR100" s="219">
        <v>340.00000000000006</v>
      </c>
      <c r="AS100" s="220">
        <v>6.5384615384615392</v>
      </c>
      <c r="AT100" s="221">
        <v>9.6153846153846159E-2</v>
      </c>
      <c r="AU100" s="222">
        <v>2.3846153846153846</v>
      </c>
      <c r="AV100" s="189">
        <v>6</v>
      </c>
      <c r="AW100" s="223">
        <f>AV100-AC100</f>
        <v>-6</v>
      </c>
      <c r="AX100" s="177">
        <v>6.7</v>
      </c>
      <c r="AY100" s="177">
        <v>8</v>
      </c>
      <c r="AZ100" s="177">
        <f>16/2</f>
        <v>8</v>
      </c>
      <c r="BA100" s="177">
        <f>7.75/2</f>
        <v>3.875</v>
      </c>
      <c r="BG100" s="182">
        <f t="shared" si="26"/>
        <v>62.4</v>
      </c>
      <c r="BH100" s="224">
        <f t="shared" si="27"/>
        <v>0.76923076923076927</v>
      </c>
      <c r="BI100" s="182">
        <f t="shared" si="28"/>
        <v>6</v>
      </c>
      <c r="BJ100" s="182">
        <f t="shared" si="29"/>
        <v>6</v>
      </c>
      <c r="BL100" s="182"/>
      <c r="BM100" s="182"/>
      <c r="BN100" s="182"/>
      <c r="BP100" s="225">
        <f t="shared" si="30"/>
        <v>6</v>
      </c>
      <c r="BQ100" s="182">
        <f t="shared" si="31"/>
        <v>62.4</v>
      </c>
      <c r="BR100" s="173" t="s">
        <v>204</v>
      </c>
      <c r="BS100" s="226">
        <f t="shared" si="39"/>
        <v>972.92307692307691</v>
      </c>
      <c r="BT100" s="227"/>
      <c r="BU100" s="227"/>
      <c r="BV100" s="227"/>
      <c r="BW100" s="227" t="s">
        <v>335</v>
      </c>
      <c r="BX100" s="189" t="s">
        <v>990</v>
      </c>
      <c r="BY100" s="189"/>
      <c r="CA100" s="177" t="s">
        <v>123</v>
      </c>
      <c r="CB100" s="187">
        <v>469.2</v>
      </c>
      <c r="CC100" s="186">
        <v>340.00000000000006</v>
      </c>
      <c r="CD100" s="186">
        <v>6</v>
      </c>
      <c r="CE100" s="173">
        <v>12</v>
      </c>
      <c r="CF100" s="173">
        <f t="shared" ref="CF100:CF101" si="50">CE100</f>
        <v>12</v>
      </c>
      <c r="CG100" s="173">
        <f t="shared" ref="CG100:CG101" si="51">CE100/CD100</f>
        <v>2</v>
      </c>
      <c r="CK100" s="173">
        <f t="shared" ref="CK100:CK101" si="52">CD100-AV100</f>
        <v>0</v>
      </c>
    </row>
    <row r="101" spans="1:89" ht="15" customHeight="1">
      <c r="A101" s="177" t="s">
        <v>82</v>
      </c>
      <c r="B101" s="173" t="s">
        <v>564</v>
      </c>
      <c r="C101" s="175">
        <v>20</v>
      </c>
      <c r="D101" s="173" t="s">
        <v>627</v>
      </c>
      <c r="E101" s="177" t="s">
        <v>156</v>
      </c>
      <c r="F101" s="213" t="s">
        <v>1086</v>
      </c>
      <c r="G101" s="213" t="s">
        <v>1087</v>
      </c>
      <c r="H101" s="213" t="s">
        <v>73</v>
      </c>
      <c r="I101" s="213" t="s">
        <v>1352</v>
      </c>
      <c r="J101" s="213" t="s">
        <v>1019</v>
      </c>
      <c r="K101" s="214" t="s">
        <v>214</v>
      </c>
      <c r="L101" s="213" t="s">
        <v>1353</v>
      </c>
      <c r="M101" s="213" t="s">
        <v>1354</v>
      </c>
      <c r="N101" s="213"/>
      <c r="O101" s="213"/>
      <c r="P101" s="177">
        <v>5.7</v>
      </c>
      <c r="Q101" s="177">
        <v>3.65</v>
      </c>
      <c r="R101" s="177">
        <v>1.5</v>
      </c>
      <c r="S101" s="215" t="s">
        <v>864</v>
      </c>
      <c r="T101" s="177">
        <v>0.1</v>
      </c>
      <c r="U101" s="178">
        <v>1.8059895833333332E-2</v>
      </c>
      <c r="V101" s="173" t="s">
        <v>565</v>
      </c>
      <c r="W101" s="217">
        <v>6</v>
      </c>
      <c r="X101" s="177">
        <v>6.75</v>
      </c>
      <c r="Y101" s="177">
        <v>6</v>
      </c>
      <c r="Z101" s="177">
        <v>4.0999999999999996</v>
      </c>
      <c r="AA101" s="177">
        <v>1</v>
      </c>
      <c r="AB101" s="178">
        <v>9.6093749999999992E-2</v>
      </c>
      <c r="AC101" s="177">
        <v>24</v>
      </c>
      <c r="AD101" s="177">
        <v>7.25</v>
      </c>
      <c r="AE101" s="177">
        <v>13</v>
      </c>
      <c r="AF101" s="177">
        <v>9.1999999999999993</v>
      </c>
      <c r="AG101" s="177">
        <v>6</v>
      </c>
      <c r="AM101" s="218" t="s">
        <v>987</v>
      </c>
      <c r="AN101" s="177" t="s">
        <v>988</v>
      </c>
      <c r="AO101" s="177" t="s">
        <v>989</v>
      </c>
      <c r="AQ101" s="281">
        <v>68</v>
      </c>
      <c r="AR101" s="219">
        <v>340.00000000000006</v>
      </c>
      <c r="AS101" s="220">
        <v>6.5384615384615392</v>
      </c>
      <c r="AT101" s="221">
        <v>9.6153846153846159E-2</v>
      </c>
      <c r="AU101" s="222">
        <v>1.2923076923076922</v>
      </c>
      <c r="AV101" s="189">
        <v>6</v>
      </c>
      <c r="AW101" s="223">
        <f t="shared" ref="AW101:AW113" si="53">AV101-W101</f>
        <v>0</v>
      </c>
      <c r="AX101" s="228">
        <v>6.75</v>
      </c>
      <c r="AY101" s="177">
        <v>6</v>
      </c>
      <c r="AZ101" s="177">
        <v>4.0999999999999996</v>
      </c>
      <c r="BA101" s="177">
        <v>1</v>
      </c>
      <c r="BG101" s="182">
        <f t="shared" si="26"/>
        <v>62.4</v>
      </c>
      <c r="BH101" s="224">
        <f t="shared" si="27"/>
        <v>0.76923076923076927</v>
      </c>
      <c r="BI101" s="182">
        <f t="shared" si="28"/>
        <v>6</v>
      </c>
      <c r="BJ101" s="182">
        <f t="shared" si="29"/>
        <v>6</v>
      </c>
      <c r="BL101" s="182"/>
      <c r="BM101" s="182"/>
      <c r="BN101" s="182"/>
      <c r="BP101" s="225">
        <f t="shared" si="30"/>
        <v>6</v>
      </c>
      <c r="BQ101" s="182">
        <f t="shared" si="31"/>
        <v>62.4</v>
      </c>
      <c r="BR101" s="173" t="s">
        <v>204</v>
      </c>
      <c r="BS101" s="226">
        <f t="shared" si="39"/>
        <v>527.26153846153841</v>
      </c>
      <c r="BT101" s="227"/>
      <c r="BU101" s="227"/>
      <c r="BV101" s="227"/>
      <c r="BW101" s="227" t="s">
        <v>335</v>
      </c>
      <c r="BX101" s="230" t="s">
        <v>1091</v>
      </c>
      <c r="BY101" s="231" t="s">
        <v>1092</v>
      </c>
      <c r="CA101" s="177" t="s">
        <v>156</v>
      </c>
      <c r="CB101" s="187">
        <v>469.2</v>
      </c>
      <c r="CC101" s="186">
        <v>340.00000000000006</v>
      </c>
      <c r="CD101" s="186">
        <v>6</v>
      </c>
      <c r="CE101" s="173">
        <v>24</v>
      </c>
      <c r="CF101" s="173">
        <f t="shared" si="50"/>
        <v>24</v>
      </c>
      <c r="CG101" s="173">
        <f t="shared" si="51"/>
        <v>4</v>
      </c>
      <c r="CK101" s="173">
        <f t="shared" si="52"/>
        <v>0</v>
      </c>
    </row>
    <row r="102" spans="1:89" ht="15" hidden="1" customHeight="1">
      <c r="A102" s="177" t="s">
        <v>82</v>
      </c>
      <c r="B102" s="173" t="s">
        <v>564</v>
      </c>
      <c r="C102" s="175">
        <v>5</v>
      </c>
      <c r="D102" s="173" t="s">
        <v>628</v>
      </c>
      <c r="E102" s="177" t="s">
        <v>462</v>
      </c>
      <c r="F102" s="213" t="s">
        <v>1333</v>
      </c>
      <c r="G102" s="213" t="s">
        <v>1334</v>
      </c>
      <c r="H102" s="213"/>
      <c r="I102" s="213" t="s">
        <v>1355</v>
      </c>
      <c r="J102" s="213" t="s">
        <v>1031</v>
      </c>
      <c r="K102" s="214" t="s">
        <v>88</v>
      </c>
      <c r="L102" s="213"/>
      <c r="M102" s="213"/>
      <c r="N102" s="213" t="s">
        <v>1336</v>
      </c>
      <c r="O102" s="213"/>
      <c r="P102" s="177">
        <v>5.7</v>
      </c>
      <c r="Q102" s="177">
        <v>3.65</v>
      </c>
      <c r="R102" s="177">
        <v>1.5</v>
      </c>
      <c r="S102" s="215" t="s">
        <v>880</v>
      </c>
      <c r="T102" s="177">
        <v>0.3</v>
      </c>
      <c r="U102" s="178">
        <v>1.8059895833333332E-2</v>
      </c>
      <c r="V102" s="173" t="s">
        <v>565</v>
      </c>
      <c r="W102" s="217">
        <v>3</v>
      </c>
      <c r="X102" s="177">
        <v>5.8</v>
      </c>
      <c r="Y102" s="177">
        <v>3.8</v>
      </c>
      <c r="Z102" s="177">
        <v>4.8499999999999996</v>
      </c>
      <c r="AA102" s="177">
        <v>0.9</v>
      </c>
      <c r="AB102" s="178">
        <v>6.1859953703703702E-2</v>
      </c>
      <c r="AC102" s="177">
        <v>24</v>
      </c>
      <c r="AM102" s="218" t="s">
        <v>987</v>
      </c>
      <c r="AN102" s="177" t="s">
        <v>988</v>
      </c>
      <c r="AO102" s="177" t="s">
        <v>989</v>
      </c>
      <c r="AQ102" s="281">
        <v>68</v>
      </c>
      <c r="AR102" s="219">
        <v>408</v>
      </c>
      <c r="AS102" s="220">
        <v>7.8461538461538458</v>
      </c>
      <c r="AT102" s="221">
        <v>0.11538461538461538</v>
      </c>
      <c r="AU102" s="222">
        <v>2.23</v>
      </c>
      <c r="AV102" s="189">
        <v>5</v>
      </c>
      <c r="AW102" s="223">
        <f t="shared" si="53"/>
        <v>2</v>
      </c>
      <c r="AX102" s="177">
        <v>5.8</v>
      </c>
      <c r="AY102" s="177">
        <v>3.8</v>
      </c>
      <c r="AZ102" s="229">
        <v>7</v>
      </c>
      <c r="BA102" s="229">
        <v>1.4</v>
      </c>
      <c r="BB102" s="229"/>
      <c r="BC102" s="229"/>
      <c r="BD102" s="229"/>
      <c r="BE102" s="229"/>
      <c r="BF102" s="229"/>
      <c r="BG102" s="182">
        <f t="shared" si="26"/>
        <v>43.333333333333336</v>
      </c>
      <c r="BH102" s="224">
        <f t="shared" si="27"/>
        <v>0.92307692307692302</v>
      </c>
      <c r="BI102" s="182">
        <f t="shared" si="28"/>
        <v>5</v>
      </c>
      <c r="BJ102" s="182">
        <f t="shared" si="29"/>
        <v>5</v>
      </c>
      <c r="BL102" s="182"/>
      <c r="BM102" s="182"/>
      <c r="BN102" s="182"/>
      <c r="BP102" s="225">
        <f t="shared" si="30"/>
        <v>5</v>
      </c>
      <c r="BQ102" s="182">
        <f t="shared" si="31"/>
        <v>43.333333333333336</v>
      </c>
      <c r="BR102" s="173" t="s">
        <v>217</v>
      </c>
      <c r="BS102" s="226">
        <f t="shared" si="39"/>
        <v>758.2</v>
      </c>
      <c r="BT102" s="227"/>
      <c r="BU102" s="227"/>
      <c r="BV102" s="227"/>
      <c r="BW102" s="227" t="s">
        <v>335</v>
      </c>
      <c r="BX102" s="230" t="s">
        <v>1091</v>
      </c>
      <c r="BY102" s="189" t="s">
        <v>1123</v>
      </c>
      <c r="CA102" s="177" t="s">
        <v>462</v>
      </c>
      <c r="CB102" s="187" t="e">
        <v>#N/A</v>
      </c>
      <c r="CC102" s="186" t="e">
        <v>#N/A</v>
      </c>
      <c r="CD102" s="186" t="e">
        <v>#N/A</v>
      </c>
      <c r="CE102" s="173" t="e">
        <v>#N/A</v>
      </c>
    </row>
    <row r="103" spans="1:89" ht="15" hidden="1" customHeight="1">
      <c r="A103" s="177" t="s">
        <v>82</v>
      </c>
      <c r="B103" s="173" t="s">
        <v>564</v>
      </c>
      <c r="C103" s="175">
        <v>2</v>
      </c>
      <c r="D103" s="173" t="s">
        <v>629</v>
      </c>
      <c r="E103" s="177" t="s">
        <v>454</v>
      </c>
      <c r="F103" s="213" t="s">
        <v>1333</v>
      </c>
      <c r="G103" s="213" t="s">
        <v>1334</v>
      </c>
      <c r="H103" s="213"/>
      <c r="I103" s="213" t="s">
        <v>1356</v>
      </c>
      <c r="J103" s="213" t="s">
        <v>1031</v>
      </c>
      <c r="K103" s="214" t="s">
        <v>88</v>
      </c>
      <c r="L103" s="213"/>
      <c r="M103" s="213"/>
      <c r="N103" s="213" t="s">
        <v>1336</v>
      </c>
      <c r="O103" s="213"/>
      <c r="P103" s="177">
        <v>5.7</v>
      </c>
      <c r="Q103" s="177">
        <v>3.65</v>
      </c>
      <c r="R103" s="177">
        <v>1.5</v>
      </c>
      <c r="S103" s="215" t="s">
        <v>877</v>
      </c>
      <c r="T103" s="177">
        <v>0.3</v>
      </c>
      <c r="U103" s="178">
        <v>1.8059895833333332E-2</v>
      </c>
      <c r="V103" s="173" t="s">
        <v>565</v>
      </c>
      <c r="W103" s="217">
        <v>3</v>
      </c>
      <c r="X103" s="177">
        <v>5.8</v>
      </c>
      <c r="Y103" s="177">
        <v>3.8</v>
      </c>
      <c r="Z103" s="177">
        <v>4.8499999999999996</v>
      </c>
      <c r="AA103" s="177">
        <v>0.9</v>
      </c>
      <c r="AB103" s="178">
        <v>6.1859953703703702E-2</v>
      </c>
      <c r="AC103" s="177">
        <v>24</v>
      </c>
      <c r="AM103" s="218" t="s">
        <v>987</v>
      </c>
      <c r="AN103" s="177" t="s">
        <v>988</v>
      </c>
      <c r="AO103" s="177" t="s">
        <v>989</v>
      </c>
      <c r="AQ103" s="281">
        <v>68</v>
      </c>
      <c r="AR103" s="219">
        <v>544</v>
      </c>
      <c r="AS103" s="220">
        <v>10.461538461538462</v>
      </c>
      <c r="AT103" s="221">
        <v>0.15384615384615385</v>
      </c>
      <c r="AU103" s="222">
        <v>2.08</v>
      </c>
      <c r="AV103" s="189">
        <v>5</v>
      </c>
      <c r="AW103" s="223">
        <f t="shared" si="53"/>
        <v>2</v>
      </c>
      <c r="AX103" s="177">
        <v>5.8</v>
      </c>
      <c r="AY103" s="177">
        <v>3.8</v>
      </c>
      <c r="AZ103" s="229">
        <v>7</v>
      </c>
      <c r="BA103" s="229">
        <v>1.4</v>
      </c>
      <c r="BB103" s="229"/>
      <c r="BC103" s="229"/>
      <c r="BD103" s="229"/>
      <c r="BE103" s="229"/>
      <c r="BF103" s="229"/>
      <c r="BG103" s="182">
        <f t="shared" si="26"/>
        <v>32.5</v>
      </c>
      <c r="BH103" s="224">
        <f t="shared" si="27"/>
        <v>1.2307692307692308</v>
      </c>
      <c r="BI103" s="182">
        <f t="shared" si="28"/>
        <v>5</v>
      </c>
      <c r="BJ103" s="182">
        <f t="shared" si="29"/>
        <v>5</v>
      </c>
      <c r="BL103" s="182"/>
      <c r="BM103" s="182"/>
      <c r="BN103" s="182"/>
      <c r="BP103" s="225">
        <f t="shared" si="30"/>
        <v>5</v>
      </c>
      <c r="BQ103" s="182">
        <f t="shared" si="31"/>
        <v>32.5</v>
      </c>
      <c r="BR103" s="173" t="s">
        <v>217</v>
      </c>
      <c r="BS103" s="226">
        <f t="shared" si="39"/>
        <v>707.2</v>
      </c>
      <c r="BT103" s="227"/>
      <c r="BU103" s="227"/>
      <c r="BV103" s="227"/>
      <c r="BW103" s="227" t="s">
        <v>335</v>
      </c>
      <c r="BX103" s="230" t="s">
        <v>1091</v>
      </c>
      <c r="BY103" s="189" t="s">
        <v>1123</v>
      </c>
      <c r="CA103" s="177" t="s">
        <v>454</v>
      </c>
      <c r="CB103" s="187" t="e">
        <v>#N/A</v>
      </c>
      <c r="CC103" s="186" t="e">
        <v>#N/A</v>
      </c>
      <c r="CD103" s="186" t="e">
        <v>#N/A</v>
      </c>
      <c r="CE103" s="173" t="e">
        <v>#N/A</v>
      </c>
    </row>
    <row r="104" spans="1:89" ht="15" customHeight="1">
      <c r="A104" s="177" t="s">
        <v>82</v>
      </c>
      <c r="B104" s="173" t="s">
        <v>564</v>
      </c>
      <c r="C104" s="175">
        <v>19</v>
      </c>
      <c r="D104" s="173" t="s">
        <v>341</v>
      </c>
      <c r="E104" s="177" t="s">
        <v>130</v>
      </c>
      <c r="F104" s="213" t="s">
        <v>980</v>
      </c>
      <c r="G104" s="213" t="s">
        <v>981</v>
      </c>
      <c r="H104" s="213" t="s">
        <v>122</v>
      </c>
      <c r="I104" s="213" t="s">
        <v>1357</v>
      </c>
      <c r="J104" s="213" t="s">
        <v>1216</v>
      </c>
      <c r="K104" s="214" t="s">
        <v>88</v>
      </c>
      <c r="L104" s="213" t="s">
        <v>1358</v>
      </c>
      <c r="M104" s="213" t="s">
        <v>1359</v>
      </c>
      <c r="N104" s="213" t="s">
        <v>1360</v>
      </c>
      <c r="O104" s="213"/>
      <c r="P104" s="177">
        <v>5.7</v>
      </c>
      <c r="Q104" s="177">
        <v>3.65</v>
      </c>
      <c r="R104" s="177">
        <v>1</v>
      </c>
      <c r="S104" s="215" t="s">
        <v>843</v>
      </c>
      <c r="T104" s="177">
        <v>0.04</v>
      </c>
      <c r="U104" s="178">
        <v>1.2039930555555555E-2</v>
      </c>
      <c r="V104" s="173" t="s">
        <v>565</v>
      </c>
      <c r="W104" s="217">
        <v>6</v>
      </c>
      <c r="X104" s="177">
        <v>6.75</v>
      </c>
      <c r="Y104" s="177">
        <v>6</v>
      </c>
      <c r="Z104" s="177">
        <v>4.0999999999999996</v>
      </c>
      <c r="AA104" s="177">
        <v>1</v>
      </c>
      <c r="AB104" s="178">
        <v>9.6093749999999992E-2</v>
      </c>
      <c r="AC104" s="177">
        <v>24</v>
      </c>
      <c r="AD104" s="177">
        <v>7.25</v>
      </c>
      <c r="AE104" s="177">
        <v>13</v>
      </c>
      <c r="AF104" s="177">
        <v>9.1999999999999993</v>
      </c>
      <c r="AG104" s="177">
        <v>6</v>
      </c>
      <c r="AM104" s="218" t="s">
        <v>987</v>
      </c>
      <c r="AN104" s="177" t="s">
        <v>988</v>
      </c>
      <c r="AO104" s="177" t="s">
        <v>989</v>
      </c>
      <c r="AQ104" s="281">
        <v>68</v>
      </c>
      <c r="AR104" s="219">
        <v>340.00000000000006</v>
      </c>
      <c r="AS104" s="220">
        <v>6.5384615384615392</v>
      </c>
      <c r="AT104" s="221">
        <v>9.6153846153846159E-2</v>
      </c>
      <c r="AU104" s="222">
        <v>1.1538461538461537</v>
      </c>
      <c r="AV104" s="189">
        <v>6</v>
      </c>
      <c r="AW104" s="223">
        <f t="shared" si="53"/>
        <v>0</v>
      </c>
      <c r="AX104" s="228">
        <v>6.75</v>
      </c>
      <c r="AY104" s="177">
        <v>6</v>
      </c>
      <c r="AZ104" s="177">
        <v>4.0999999999999996</v>
      </c>
      <c r="BA104" s="177">
        <v>1</v>
      </c>
      <c r="BG104" s="182">
        <f t="shared" si="26"/>
        <v>62.4</v>
      </c>
      <c r="BH104" s="224">
        <f t="shared" si="27"/>
        <v>0.76923076923076927</v>
      </c>
      <c r="BI104" s="182">
        <f t="shared" si="28"/>
        <v>6</v>
      </c>
      <c r="BJ104" s="182">
        <f t="shared" si="29"/>
        <v>6</v>
      </c>
      <c r="BL104" s="182"/>
      <c r="BM104" s="182"/>
      <c r="BN104" s="182"/>
      <c r="BP104" s="225">
        <f t="shared" si="30"/>
        <v>6</v>
      </c>
      <c r="BQ104" s="182">
        <f t="shared" si="31"/>
        <v>62.4</v>
      </c>
      <c r="BR104" s="173" t="s">
        <v>204</v>
      </c>
      <c r="BS104" s="226">
        <f t="shared" si="39"/>
        <v>470.76923076923072</v>
      </c>
      <c r="BT104" s="227"/>
      <c r="BU104" s="227"/>
      <c r="BV104" s="227"/>
      <c r="BW104" s="227" t="s">
        <v>335</v>
      </c>
      <c r="BX104" s="230" t="s">
        <v>1091</v>
      </c>
      <c r="BY104" s="189" t="s">
        <v>1123</v>
      </c>
      <c r="CA104" s="177" t="s">
        <v>130</v>
      </c>
      <c r="CB104" s="187">
        <v>469.2</v>
      </c>
      <c r="CC104" s="186">
        <v>340.00000000000006</v>
      </c>
      <c r="CD104" s="186">
        <v>6</v>
      </c>
      <c r="CE104" s="173">
        <v>24</v>
      </c>
      <c r="CF104" s="173">
        <f>CE104</f>
        <v>24</v>
      </c>
      <c r="CG104" s="173">
        <f>CE104/CD104</f>
        <v>4</v>
      </c>
      <c r="CK104" s="173">
        <f>CD104-AV104</f>
        <v>0</v>
      </c>
    </row>
    <row r="105" spans="1:89" ht="15" hidden="1" customHeight="1">
      <c r="A105" s="177" t="s">
        <v>82</v>
      </c>
      <c r="B105" s="173" t="s">
        <v>564</v>
      </c>
      <c r="C105" s="175">
        <v>1</v>
      </c>
      <c r="D105" s="173" t="s">
        <v>630</v>
      </c>
      <c r="E105" s="177" t="s">
        <v>451</v>
      </c>
      <c r="F105" s="213" t="s">
        <v>1333</v>
      </c>
      <c r="G105" s="213" t="s">
        <v>1334</v>
      </c>
      <c r="H105" s="213"/>
      <c r="I105" s="213" t="s">
        <v>1361</v>
      </c>
      <c r="J105" s="213" t="s">
        <v>1031</v>
      </c>
      <c r="K105" s="214" t="s">
        <v>88</v>
      </c>
      <c r="L105" s="213"/>
      <c r="M105" s="213"/>
      <c r="N105" s="213" t="s">
        <v>1336</v>
      </c>
      <c r="O105" s="213"/>
      <c r="P105" s="177">
        <v>5.7</v>
      </c>
      <c r="Q105" s="177">
        <v>3.65</v>
      </c>
      <c r="R105" s="177">
        <v>1.5</v>
      </c>
      <c r="S105" s="215" t="s">
        <v>876</v>
      </c>
      <c r="T105" s="177">
        <v>0.3</v>
      </c>
      <c r="U105" s="178">
        <v>1.8059895833333332E-2</v>
      </c>
      <c r="V105" s="173" t="s">
        <v>565</v>
      </c>
      <c r="W105" s="217">
        <v>3</v>
      </c>
      <c r="X105" s="177">
        <v>5.8</v>
      </c>
      <c r="Y105" s="177">
        <v>3.8</v>
      </c>
      <c r="Z105" s="177">
        <v>4.8499999999999996</v>
      </c>
      <c r="AA105" s="177">
        <v>0.9</v>
      </c>
      <c r="AB105" s="178">
        <v>6.1859953703703702E-2</v>
      </c>
      <c r="AC105" s="177">
        <v>24</v>
      </c>
      <c r="AM105" s="218" t="s">
        <v>987</v>
      </c>
      <c r="AN105" s="177" t="s">
        <v>988</v>
      </c>
      <c r="AO105" s="177" t="s">
        <v>989</v>
      </c>
      <c r="AQ105" s="281">
        <v>68</v>
      </c>
      <c r="AR105" s="219">
        <v>408</v>
      </c>
      <c r="AS105" s="220">
        <v>7.8461538461538458</v>
      </c>
      <c r="AT105" s="221">
        <v>0.11538461538461538</v>
      </c>
      <c r="AU105" s="222">
        <v>2.0299999999999998</v>
      </c>
      <c r="AV105" s="189">
        <v>5</v>
      </c>
      <c r="AW105" s="223">
        <f t="shared" si="53"/>
        <v>2</v>
      </c>
      <c r="AX105" s="177">
        <v>5.8</v>
      </c>
      <c r="AY105" s="177">
        <v>3.8</v>
      </c>
      <c r="AZ105" s="229">
        <v>7</v>
      </c>
      <c r="BA105" s="229">
        <v>1.4</v>
      </c>
      <c r="BB105" s="229"/>
      <c r="BC105" s="229"/>
      <c r="BD105" s="229"/>
      <c r="BE105" s="229"/>
      <c r="BF105" s="229"/>
      <c r="BG105" s="182">
        <f t="shared" si="26"/>
        <v>43.333333333333336</v>
      </c>
      <c r="BH105" s="224">
        <f t="shared" si="27"/>
        <v>0.92307692307692302</v>
      </c>
      <c r="BI105" s="182">
        <f t="shared" si="28"/>
        <v>5</v>
      </c>
      <c r="BJ105" s="182">
        <f t="shared" si="29"/>
        <v>5</v>
      </c>
      <c r="BL105" s="182"/>
      <c r="BM105" s="182"/>
      <c r="BN105" s="182"/>
      <c r="BP105" s="225">
        <f t="shared" si="30"/>
        <v>5</v>
      </c>
      <c r="BQ105" s="182">
        <f t="shared" si="31"/>
        <v>43.333333333333336</v>
      </c>
      <c r="BR105" s="173" t="s">
        <v>217</v>
      </c>
      <c r="BS105" s="226">
        <f t="shared" si="39"/>
        <v>690.19999999999993</v>
      </c>
      <c r="BT105" s="227"/>
      <c r="BU105" s="227"/>
      <c r="BV105" s="227"/>
      <c r="BW105" s="227" t="s">
        <v>335</v>
      </c>
      <c r="BX105" s="230" t="s">
        <v>1091</v>
      </c>
      <c r="BY105" s="189" t="s">
        <v>1123</v>
      </c>
      <c r="CA105" s="177" t="s">
        <v>451</v>
      </c>
      <c r="CB105" s="187" t="e">
        <v>#N/A</v>
      </c>
      <c r="CC105" s="186" t="e">
        <v>#N/A</v>
      </c>
      <c r="CD105" s="186" t="e">
        <v>#N/A</v>
      </c>
      <c r="CE105" s="173" t="e">
        <v>#N/A</v>
      </c>
    </row>
    <row r="106" spans="1:89" ht="15" customHeight="1">
      <c r="A106" s="177" t="s">
        <v>82</v>
      </c>
      <c r="B106" s="173" t="s">
        <v>564</v>
      </c>
      <c r="C106" s="175">
        <v>25</v>
      </c>
      <c r="D106" s="173" t="s">
        <v>512</v>
      </c>
      <c r="E106" s="177" t="s">
        <v>188</v>
      </c>
      <c r="F106" s="213">
        <v>0</v>
      </c>
      <c r="G106" s="249" t="s">
        <v>1194</v>
      </c>
      <c r="H106" s="213" t="s">
        <v>122</v>
      </c>
      <c r="I106" s="213" t="s">
        <v>1362</v>
      </c>
      <c r="J106" s="213" t="s">
        <v>1031</v>
      </c>
      <c r="K106" s="214" t="s">
        <v>214</v>
      </c>
      <c r="L106" s="213"/>
      <c r="M106" s="213"/>
      <c r="N106" s="213" t="s">
        <v>1363</v>
      </c>
      <c r="O106" s="213"/>
      <c r="P106" s="177">
        <v>5.7</v>
      </c>
      <c r="Q106" s="177">
        <v>3.65</v>
      </c>
      <c r="R106" s="177">
        <v>2</v>
      </c>
      <c r="S106" s="215" t="s">
        <v>893</v>
      </c>
      <c r="T106" s="177">
        <v>0.1</v>
      </c>
      <c r="U106" s="178">
        <v>2.4079861111111111E-2</v>
      </c>
      <c r="V106" s="173" t="s">
        <v>565</v>
      </c>
      <c r="W106" s="217">
        <v>6</v>
      </c>
      <c r="X106" s="177">
        <v>6.75</v>
      </c>
      <c r="Y106" s="177">
        <v>6</v>
      </c>
      <c r="Z106" s="177">
        <v>4.0999999999999996</v>
      </c>
      <c r="AA106" s="177">
        <v>1</v>
      </c>
      <c r="AB106" s="178">
        <v>9.6093749999999992E-2</v>
      </c>
      <c r="AC106" s="177">
        <v>24</v>
      </c>
      <c r="AD106" s="177">
        <v>7.25</v>
      </c>
      <c r="AE106" s="177">
        <v>13</v>
      </c>
      <c r="AF106" s="177">
        <v>9.1999999999999993</v>
      </c>
      <c r="AG106" s="177">
        <v>6</v>
      </c>
      <c r="AM106" s="218" t="s">
        <v>987</v>
      </c>
      <c r="AN106" s="177" t="s">
        <v>988</v>
      </c>
      <c r="AO106" s="177" t="s">
        <v>989</v>
      </c>
      <c r="AQ106" s="281">
        <v>68</v>
      </c>
      <c r="AR106" s="219">
        <v>340.00000000000006</v>
      </c>
      <c r="AS106" s="220">
        <v>6.5384615384615392</v>
      </c>
      <c r="AT106" s="221">
        <v>9.6153846153846159E-2</v>
      </c>
      <c r="AU106" s="222">
        <v>0.64615384615384608</v>
      </c>
      <c r="AV106" s="189">
        <v>6</v>
      </c>
      <c r="AW106" s="223">
        <f t="shared" si="53"/>
        <v>0</v>
      </c>
      <c r="AX106" s="228">
        <v>6.75</v>
      </c>
      <c r="AY106" s="177">
        <v>6</v>
      </c>
      <c r="AZ106" s="177">
        <v>4.0999999999999996</v>
      </c>
      <c r="BA106" s="177">
        <v>1</v>
      </c>
      <c r="BG106" s="182">
        <f t="shared" si="26"/>
        <v>62.4</v>
      </c>
      <c r="BH106" s="224">
        <f t="shared" si="27"/>
        <v>0.76923076923076927</v>
      </c>
      <c r="BI106" s="182">
        <f t="shared" si="28"/>
        <v>6</v>
      </c>
      <c r="BJ106" s="182">
        <f t="shared" si="29"/>
        <v>6</v>
      </c>
      <c r="BL106" s="182"/>
      <c r="BM106" s="182"/>
      <c r="BN106" s="182"/>
      <c r="BP106" s="225">
        <f t="shared" si="30"/>
        <v>6</v>
      </c>
      <c r="BQ106" s="182">
        <f t="shared" si="31"/>
        <v>62.4</v>
      </c>
      <c r="BR106" s="173" t="s">
        <v>204</v>
      </c>
      <c r="BS106" s="226">
        <f t="shared" si="39"/>
        <v>263.6307692307692</v>
      </c>
      <c r="BT106" s="227"/>
      <c r="BU106" s="227"/>
      <c r="BV106" s="227"/>
      <c r="BW106" s="227" t="s">
        <v>335</v>
      </c>
      <c r="BX106" s="230" t="s">
        <v>1091</v>
      </c>
      <c r="BY106" s="231" t="s">
        <v>1092</v>
      </c>
      <c r="CA106" s="177" t="s">
        <v>188</v>
      </c>
      <c r="CB106" s="187">
        <v>469.2</v>
      </c>
      <c r="CC106" s="186">
        <v>340.00000000000006</v>
      </c>
      <c r="CD106" s="186">
        <v>6</v>
      </c>
      <c r="CE106" s="173">
        <v>24</v>
      </c>
      <c r="CF106" s="173">
        <f t="shared" ref="CF106:CF108" si="54">CE106</f>
        <v>24</v>
      </c>
      <c r="CG106" s="173">
        <f t="shared" ref="CG106:CG108" si="55">CE106/CD106</f>
        <v>4</v>
      </c>
      <c r="CK106" s="173">
        <f t="shared" ref="CK106:CK108" si="56">CD106-AV106</f>
        <v>0</v>
      </c>
    </row>
    <row r="107" spans="1:89" ht="15" customHeight="1">
      <c r="A107" s="177" t="s">
        <v>82</v>
      </c>
      <c r="B107" s="173" t="s">
        <v>564</v>
      </c>
      <c r="C107" s="175">
        <v>17</v>
      </c>
      <c r="D107" s="173" t="s">
        <v>631</v>
      </c>
      <c r="E107" s="177" t="s">
        <v>146</v>
      </c>
      <c r="F107" s="213" t="s">
        <v>1056</v>
      </c>
      <c r="G107" s="213" t="s">
        <v>1057</v>
      </c>
      <c r="H107" s="213" t="s">
        <v>73</v>
      </c>
      <c r="I107" s="213" t="s">
        <v>1364</v>
      </c>
      <c r="J107" s="213" t="s">
        <v>1031</v>
      </c>
      <c r="K107" s="214" t="s">
        <v>88</v>
      </c>
      <c r="L107" s="213" t="s">
        <v>1365</v>
      </c>
      <c r="M107" s="213" t="s">
        <v>1366</v>
      </c>
      <c r="N107" s="213"/>
      <c r="O107" s="213"/>
      <c r="P107" s="177">
        <v>5.7</v>
      </c>
      <c r="Q107" s="177">
        <v>3.65</v>
      </c>
      <c r="R107" s="177">
        <v>3</v>
      </c>
      <c r="S107" s="215" t="s">
        <v>856</v>
      </c>
      <c r="T107" s="177">
        <v>0.2</v>
      </c>
      <c r="U107" s="178">
        <v>3.6119791666666665E-2</v>
      </c>
      <c r="V107" s="173" t="s">
        <v>565</v>
      </c>
      <c r="W107" s="217">
        <v>3</v>
      </c>
      <c r="X107" s="177">
        <v>5.62</v>
      </c>
      <c r="Y107" s="177">
        <v>3.1</v>
      </c>
      <c r="Z107" s="177">
        <v>9</v>
      </c>
      <c r="AA107" s="177">
        <v>0.6</v>
      </c>
      <c r="AB107" s="178">
        <v>9.0739583333333332E-2</v>
      </c>
      <c r="AC107" s="177">
        <v>12</v>
      </c>
      <c r="AD107" s="177">
        <v>6.12</v>
      </c>
      <c r="AE107" s="177">
        <v>10.3</v>
      </c>
      <c r="AF107" s="177">
        <v>14.5</v>
      </c>
      <c r="AG107" s="177">
        <v>5</v>
      </c>
      <c r="AM107" s="218" t="s">
        <v>987</v>
      </c>
      <c r="AN107" s="177" t="s">
        <v>988</v>
      </c>
      <c r="AO107" s="177" t="s">
        <v>989</v>
      </c>
      <c r="AQ107" s="281">
        <v>68</v>
      </c>
      <c r="AR107" s="219">
        <v>340.00000000000006</v>
      </c>
      <c r="AS107" s="220">
        <v>6.5384615384615392</v>
      </c>
      <c r="AT107" s="221">
        <v>9.6153846153846159E-2</v>
      </c>
      <c r="AU107" s="222">
        <v>0.92830769230769239</v>
      </c>
      <c r="AV107" s="189">
        <v>5</v>
      </c>
      <c r="AW107" s="223">
        <f t="shared" si="53"/>
        <v>2</v>
      </c>
      <c r="AX107" s="177">
        <v>5.62</v>
      </c>
      <c r="AY107" s="177">
        <v>3.1</v>
      </c>
      <c r="AZ107" s="177">
        <v>14</v>
      </c>
      <c r="BA107" s="229">
        <v>1</v>
      </c>
      <c r="BB107" s="229"/>
      <c r="BC107" s="229"/>
      <c r="BD107" s="229"/>
      <c r="BE107" s="229"/>
      <c r="BF107" s="229"/>
      <c r="BG107" s="182">
        <f t="shared" si="26"/>
        <v>52</v>
      </c>
      <c r="BH107" s="224">
        <f t="shared" si="27"/>
        <v>0.76923076923076927</v>
      </c>
      <c r="BI107" s="182">
        <f t="shared" si="28"/>
        <v>5</v>
      </c>
      <c r="BJ107" s="182">
        <f t="shared" si="29"/>
        <v>5</v>
      </c>
      <c r="BL107" s="182"/>
      <c r="BM107" s="182"/>
      <c r="BN107" s="182"/>
      <c r="BP107" s="225">
        <f t="shared" si="30"/>
        <v>5</v>
      </c>
      <c r="BQ107" s="182">
        <f t="shared" si="31"/>
        <v>52</v>
      </c>
      <c r="BR107" s="173" t="s">
        <v>204</v>
      </c>
      <c r="BS107" s="226">
        <f t="shared" si="39"/>
        <v>315.62461538461542</v>
      </c>
      <c r="BT107" s="227"/>
      <c r="BU107" s="227"/>
      <c r="BV107" s="227"/>
      <c r="BW107" s="227" t="s">
        <v>335</v>
      </c>
      <c r="BX107" s="230" t="s">
        <v>1122</v>
      </c>
      <c r="BY107" s="189" t="s">
        <v>1123</v>
      </c>
      <c r="CA107" s="177" t="s">
        <v>146</v>
      </c>
      <c r="CB107" s="187">
        <v>391</v>
      </c>
      <c r="CC107" s="186">
        <v>340.00000000000006</v>
      </c>
      <c r="CD107" s="186">
        <v>5</v>
      </c>
      <c r="CE107" s="173">
        <v>12</v>
      </c>
      <c r="CF107" s="173">
        <v>15</v>
      </c>
      <c r="CG107" s="173">
        <f t="shared" si="55"/>
        <v>2.4</v>
      </c>
      <c r="CK107" s="173">
        <f t="shared" si="56"/>
        <v>0</v>
      </c>
    </row>
    <row r="108" spans="1:89" ht="15" customHeight="1">
      <c r="A108" s="177" t="s">
        <v>82</v>
      </c>
      <c r="B108" s="173" t="s">
        <v>564</v>
      </c>
      <c r="C108" s="175">
        <v>26</v>
      </c>
      <c r="D108" s="173" t="s">
        <v>525</v>
      </c>
      <c r="E108" s="177" t="s">
        <v>196</v>
      </c>
      <c r="F108" s="213" t="s">
        <v>1244</v>
      </c>
      <c r="G108" s="213" t="s">
        <v>1245</v>
      </c>
      <c r="H108" s="213" t="s">
        <v>122</v>
      </c>
      <c r="I108" s="213" t="s">
        <v>1367</v>
      </c>
      <c r="J108" s="213" t="s">
        <v>1247</v>
      </c>
      <c r="K108" s="214" t="s">
        <v>88</v>
      </c>
      <c r="L108" s="213" t="s">
        <v>1368</v>
      </c>
      <c r="M108" s="213"/>
      <c r="N108" s="213"/>
      <c r="O108" s="213"/>
      <c r="P108" s="177">
        <v>5.7</v>
      </c>
      <c r="Q108" s="177">
        <v>3.65</v>
      </c>
      <c r="R108" s="177">
        <v>2</v>
      </c>
      <c r="S108" s="215" t="s">
        <v>899</v>
      </c>
      <c r="T108" s="177">
        <v>0.1</v>
      </c>
      <c r="U108" s="178">
        <v>2.4079861111111111E-2</v>
      </c>
      <c r="V108" s="173" t="s">
        <v>565</v>
      </c>
      <c r="W108" s="217">
        <v>6</v>
      </c>
      <c r="X108" s="177">
        <v>6.75</v>
      </c>
      <c r="Y108" s="177">
        <v>6</v>
      </c>
      <c r="Z108" s="177">
        <v>4.0999999999999996</v>
      </c>
      <c r="AA108" s="177">
        <v>1</v>
      </c>
      <c r="AB108" s="178">
        <v>9.6093749999999992E-2</v>
      </c>
      <c r="AC108" s="177">
        <v>24</v>
      </c>
      <c r="AD108" s="177">
        <v>7.25</v>
      </c>
      <c r="AE108" s="177">
        <v>13</v>
      </c>
      <c r="AF108" s="177">
        <v>9.1999999999999993</v>
      </c>
      <c r="AG108" s="177">
        <v>6</v>
      </c>
      <c r="AM108" s="218" t="s">
        <v>987</v>
      </c>
      <c r="AN108" s="177" t="s">
        <v>988</v>
      </c>
      <c r="AO108" s="177" t="s">
        <v>989</v>
      </c>
      <c r="AQ108" s="281">
        <v>68</v>
      </c>
      <c r="AR108" s="219">
        <v>340.00000000000006</v>
      </c>
      <c r="AS108" s="220">
        <v>6.5384615384615392</v>
      </c>
      <c r="AT108" s="221">
        <v>9.6153846153846159E-2</v>
      </c>
      <c r="AU108" s="222">
        <v>0.46646153846153848</v>
      </c>
      <c r="AV108" s="189">
        <v>6</v>
      </c>
      <c r="AW108" s="223">
        <f t="shared" si="53"/>
        <v>0</v>
      </c>
      <c r="AX108" s="228">
        <v>6.75</v>
      </c>
      <c r="AY108" s="177">
        <v>6</v>
      </c>
      <c r="AZ108" s="177">
        <v>4.0999999999999996</v>
      </c>
      <c r="BA108" s="177">
        <v>1</v>
      </c>
      <c r="BG108" s="182">
        <f t="shared" si="26"/>
        <v>62.4</v>
      </c>
      <c r="BH108" s="224">
        <f t="shared" si="27"/>
        <v>0.76923076923076927</v>
      </c>
      <c r="BI108" s="182">
        <f t="shared" si="28"/>
        <v>6</v>
      </c>
      <c r="BJ108" s="182">
        <f t="shared" si="29"/>
        <v>6</v>
      </c>
      <c r="BL108" s="182"/>
      <c r="BM108" s="182"/>
      <c r="BN108" s="182"/>
      <c r="BP108" s="225">
        <f t="shared" si="30"/>
        <v>6</v>
      </c>
      <c r="BQ108" s="182">
        <f t="shared" si="31"/>
        <v>62.4</v>
      </c>
      <c r="BR108" s="173" t="s">
        <v>204</v>
      </c>
      <c r="BS108" s="226">
        <f t="shared" si="39"/>
        <v>190.3163076923077</v>
      </c>
      <c r="BT108" s="227"/>
      <c r="BU108" s="227"/>
      <c r="BV108" s="227"/>
      <c r="BW108" s="227" t="s">
        <v>335</v>
      </c>
      <c r="BX108" s="230" t="s">
        <v>1091</v>
      </c>
      <c r="BY108" s="231" t="s">
        <v>1092</v>
      </c>
      <c r="CA108" s="177" t="s">
        <v>196</v>
      </c>
      <c r="CB108" s="187">
        <v>469.2</v>
      </c>
      <c r="CC108" s="186">
        <v>340.00000000000006</v>
      </c>
      <c r="CD108" s="186">
        <v>6</v>
      </c>
      <c r="CE108" s="173">
        <v>24</v>
      </c>
      <c r="CF108" s="173">
        <f t="shared" si="54"/>
        <v>24</v>
      </c>
      <c r="CG108" s="173">
        <f t="shared" si="55"/>
        <v>4</v>
      </c>
      <c r="CK108" s="173">
        <f t="shared" si="56"/>
        <v>0</v>
      </c>
    </row>
    <row r="109" spans="1:89" ht="15" hidden="1" customHeight="1">
      <c r="A109" s="177" t="s">
        <v>82</v>
      </c>
      <c r="B109" s="173" t="s">
        <v>564</v>
      </c>
      <c r="C109" s="175">
        <v>7</v>
      </c>
      <c r="D109" s="173" t="s">
        <v>633</v>
      </c>
      <c r="E109" s="177" t="s">
        <v>468</v>
      </c>
      <c r="F109" s="213" t="s">
        <v>1333</v>
      </c>
      <c r="G109" s="213" t="s">
        <v>1334</v>
      </c>
      <c r="H109" s="213"/>
      <c r="I109" s="213" t="s">
        <v>1369</v>
      </c>
      <c r="J109" s="213" t="s">
        <v>1031</v>
      </c>
      <c r="K109" s="214" t="s">
        <v>88</v>
      </c>
      <c r="L109" s="213"/>
      <c r="M109" s="213"/>
      <c r="N109" s="213" t="s">
        <v>1336</v>
      </c>
      <c r="O109" s="213"/>
      <c r="P109" s="177">
        <v>5.7</v>
      </c>
      <c r="Q109" s="177">
        <v>3.65</v>
      </c>
      <c r="R109" s="177">
        <v>0.5</v>
      </c>
      <c r="S109" s="215" t="s">
        <v>881</v>
      </c>
      <c r="T109" s="177">
        <v>0.1</v>
      </c>
      <c r="U109" s="178">
        <v>6.0199652777777777E-3</v>
      </c>
      <c r="V109" s="173" t="s">
        <v>565</v>
      </c>
      <c r="W109" s="217">
        <v>6</v>
      </c>
      <c r="X109" s="177">
        <v>5.8</v>
      </c>
      <c r="Y109" s="177">
        <v>3.8</v>
      </c>
      <c r="Z109" s="177">
        <v>3</v>
      </c>
      <c r="AA109" s="177">
        <v>0.6</v>
      </c>
      <c r="AB109" s="178">
        <v>3.8263888888888889E-2</v>
      </c>
      <c r="AC109" s="177">
        <v>48</v>
      </c>
      <c r="AM109" s="218" t="s">
        <v>987</v>
      </c>
      <c r="AN109" s="177" t="s">
        <v>988</v>
      </c>
      <c r="AO109" s="177" t="s">
        <v>989</v>
      </c>
      <c r="AQ109" s="281">
        <v>68</v>
      </c>
      <c r="AR109" s="219">
        <v>680.00000000000011</v>
      </c>
      <c r="AS109" s="220">
        <v>13.076923076923078</v>
      </c>
      <c r="AT109" s="221">
        <v>0.19230769230769232</v>
      </c>
      <c r="AU109" s="222">
        <v>0.52</v>
      </c>
      <c r="AV109" s="189">
        <v>12</v>
      </c>
      <c r="AW109" s="223">
        <f t="shared" si="53"/>
        <v>6</v>
      </c>
      <c r="AX109" s="177">
        <v>5.8</v>
      </c>
      <c r="AY109" s="229">
        <v>3.8</v>
      </c>
      <c r="AZ109" s="228">
        <v>6</v>
      </c>
      <c r="BA109" s="229">
        <v>1.2</v>
      </c>
      <c r="BB109" s="229"/>
      <c r="BC109" s="229"/>
      <c r="BD109" s="229"/>
      <c r="BE109" s="229"/>
      <c r="BF109" s="229"/>
      <c r="BG109" s="182">
        <f t="shared" si="26"/>
        <v>62.4</v>
      </c>
      <c r="BH109" s="224">
        <f t="shared" si="27"/>
        <v>1.5384615384615385</v>
      </c>
      <c r="BI109" s="182">
        <f t="shared" si="28"/>
        <v>12</v>
      </c>
      <c r="BJ109" s="182">
        <f t="shared" si="29"/>
        <v>12</v>
      </c>
      <c r="BL109" s="182"/>
      <c r="BM109" s="182"/>
      <c r="BN109" s="182"/>
      <c r="BP109" s="225">
        <f t="shared" si="30"/>
        <v>12</v>
      </c>
      <c r="BQ109" s="182">
        <f t="shared" si="31"/>
        <v>62.4</v>
      </c>
      <c r="BR109" s="173" t="s">
        <v>217</v>
      </c>
      <c r="BS109" s="226">
        <f t="shared" si="39"/>
        <v>424.32</v>
      </c>
      <c r="BT109" s="227"/>
      <c r="BU109" s="227"/>
      <c r="BV109" s="227"/>
      <c r="BW109" s="227" t="s">
        <v>335</v>
      </c>
      <c r="BX109" s="230" t="s">
        <v>1181</v>
      </c>
      <c r="BY109" s="231" t="s">
        <v>1370</v>
      </c>
      <c r="CA109" s="177" t="s">
        <v>468</v>
      </c>
      <c r="CB109" s="187" t="e">
        <v>#N/A</v>
      </c>
      <c r="CC109" s="186" t="e">
        <v>#N/A</v>
      </c>
      <c r="CD109" s="186" t="e">
        <v>#N/A</v>
      </c>
      <c r="CE109" s="173" t="e">
        <v>#N/A</v>
      </c>
    </row>
    <row r="110" spans="1:89" ht="15" customHeight="1">
      <c r="A110" s="177" t="s">
        <v>82</v>
      </c>
      <c r="B110" s="173" t="s">
        <v>564</v>
      </c>
      <c r="C110" s="175">
        <v>27</v>
      </c>
      <c r="D110" s="173" t="s">
        <v>527</v>
      </c>
      <c r="E110" s="177" t="s">
        <v>198</v>
      </c>
      <c r="F110" s="213" t="s">
        <v>1371</v>
      </c>
      <c r="G110" s="213" t="s">
        <v>1372</v>
      </c>
      <c r="H110" s="213" t="s">
        <v>122</v>
      </c>
      <c r="I110" s="213" t="s">
        <v>1373</v>
      </c>
      <c r="J110" s="213" t="s">
        <v>1275</v>
      </c>
      <c r="K110" s="214" t="s">
        <v>211</v>
      </c>
      <c r="L110" s="213" t="s">
        <v>1374</v>
      </c>
      <c r="M110" s="213" t="s">
        <v>1375</v>
      </c>
      <c r="N110" s="213"/>
      <c r="O110" s="213"/>
      <c r="P110" s="177">
        <v>5.7</v>
      </c>
      <c r="Q110" s="177">
        <v>3.65</v>
      </c>
      <c r="R110" s="177">
        <v>0.75</v>
      </c>
      <c r="S110" s="215" t="s">
        <v>900</v>
      </c>
      <c r="T110" s="177">
        <v>7.0000000000000007E-2</v>
      </c>
      <c r="U110" s="178">
        <v>9.0299479166666662E-3</v>
      </c>
      <c r="V110" s="173" t="s">
        <v>565</v>
      </c>
      <c r="W110" s="217">
        <v>6</v>
      </c>
      <c r="X110" s="177">
        <v>6.75</v>
      </c>
      <c r="Y110" s="177">
        <v>6</v>
      </c>
      <c r="Z110" s="177">
        <v>4.0999999999999996</v>
      </c>
      <c r="AA110" s="177">
        <v>1</v>
      </c>
      <c r="AB110" s="178">
        <v>9.6093749999999992E-2</v>
      </c>
      <c r="AC110" s="177">
        <v>24</v>
      </c>
      <c r="AD110" s="177">
        <v>7.25</v>
      </c>
      <c r="AE110" s="177">
        <v>13</v>
      </c>
      <c r="AF110" s="177">
        <v>9.1999999999999993</v>
      </c>
      <c r="AG110" s="177">
        <v>6</v>
      </c>
      <c r="AM110" s="218" t="s">
        <v>987</v>
      </c>
      <c r="AN110" s="177" t="s">
        <v>988</v>
      </c>
      <c r="AO110" s="177" t="s">
        <v>989</v>
      </c>
      <c r="AQ110" s="281">
        <v>68</v>
      </c>
      <c r="AR110" s="219">
        <v>340.00000000000006</v>
      </c>
      <c r="AS110" s="220">
        <v>6.5384615384615392</v>
      </c>
      <c r="AT110" s="221">
        <v>9.6153846153846159E-2</v>
      </c>
      <c r="AU110" s="222">
        <v>0.38461538461538458</v>
      </c>
      <c r="AV110" s="189">
        <v>6</v>
      </c>
      <c r="AW110" s="223">
        <f t="shared" si="53"/>
        <v>0</v>
      </c>
      <c r="AX110" s="228">
        <v>6.75</v>
      </c>
      <c r="AY110" s="177">
        <v>6</v>
      </c>
      <c r="AZ110" s="177">
        <v>4.0999999999999996</v>
      </c>
      <c r="BA110" s="177">
        <v>1</v>
      </c>
      <c r="BG110" s="182">
        <f t="shared" si="26"/>
        <v>62.4</v>
      </c>
      <c r="BH110" s="224">
        <f t="shared" si="27"/>
        <v>0.76923076923076927</v>
      </c>
      <c r="BI110" s="182">
        <f t="shared" si="28"/>
        <v>6</v>
      </c>
      <c r="BJ110" s="182">
        <f t="shared" si="29"/>
        <v>6</v>
      </c>
      <c r="BL110" s="182"/>
      <c r="BM110" s="182"/>
      <c r="BN110" s="182"/>
      <c r="BP110" s="225">
        <f t="shared" si="30"/>
        <v>6</v>
      </c>
      <c r="BQ110" s="182">
        <f t="shared" si="31"/>
        <v>62.4</v>
      </c>
      <c r="BR110" s="173" t="s">
        <v>248</v>
      </c>
      <c r="BS110" s="226">
        <f t="shared" si="39"/>
        <v>156.92307692307691</v>
      </c>
      <c r="BT110" s="227"/>
      <c r="BU110" s="227"/>
      <c r="BV110" s="227"/>
      <c r="BW110" s="227" t="s">
        <v>335</v>
      </c>
      <c r="BX110" s="230" t="s">
        <v>1091</v>
      </c>
      <c r="BY110" s="231" t="s">
        <v>1092</v>
      </c>
      <c r="CA110" s="177" t="s">
        <v>198</v>
      </c>
      <c r="CB110" s="187">
        <v>469.2</v>
      </c>
      <c r="CC110" s="186">
        <v>340.00000000000006</v>
      </c>
      <c r="CD110" s="186">
        <v>6</v>
      </c>
      <c r="CE110" s="173">
        <v>24</v>
      </c>
      <c r="CF110" s="173">
        <f>CE110</f>
        <v>24</v>
      </c>
      <c r="CG110" s="173">
        <f>CE110/CD110</f>
        <v>4</v>
      </c>
      <c r="CK110" s="173">
        <f>CD110-AV110</f>
        <v>0</v>
      </c>
    </row>
    <row r="111" spans="1:89" ht="15" hidden="1" customHeight="1">
      <c r="A111" s="177" t="s">
        <v>82</v>
      </c>
      <c r="B111" s="173" t="s">
        <v>564</v>
      </c>
      <c r="C111" s="175">
        <v>8</v>
      </c>
      <c r="D111" s="173" t="s">
        <v>634</v>
      </c>
      <c r="E111" s="177" t="s">
        <v>471</v>
      </c>
      <c r="F111" s="213" t="s">
        <v>1333</v>
      </c>
      <c r="G111" s="213" t="s">
        <v>1334</v>
      </c>
      <c r="H111" s="213"/>
      <c r="I111" s="213" t="s">
        <v>1376</v>
      </c>
      <c r="J111" s="213" t="s">
        <v>1031</v>
      </c>
      <c r="K111" s="214" t="s">
        <v>88</v>
      </c>
      <c r="L111" s="213"/>
      <c r="M111" s="213"/>
      <c r="N111" s="213" t="s">
        <v>1377</v>
      </c>
      <c r="O111" s="213"/>
      <c r="P111" s="177">
        <v>5.7</v>
      </c>
      <c r="Q111" s="177">
        <v>3.65</v>
      </c>
      <c r="R111" s="177">
        <v>0.5</v>
      </c>
      <c r="S111" s="215" t="s">
        <v>882</v>
      </c>
      <c r="T111" s="177">
        <v>0.1</v>
      </c>
      <c r="U111" s="178">
        <v>6.0199652777777777E-3</v>
      </c>
      <c r="V111" s="173" t="s">
        <v>565</v>
      </c>
      <c r="W111" s="217">
        <v>6</v>
      </c>
      <c r="X111" s="177">
        <v>5.8</v>
      </c>
      <c r="Y111" s="177">
        <v>3.8</v>
      </c>
      <c r="Z111" s="177">
        <v>3</v>
      </c>
      <c r="AA111" s="177">
        <v>0.6</v>
      </c>
      <c r="AB111" s="178">
        <v>3.8263888888888889E-2</v>
      </c>
      <c r="AC111" s="177">
        <v>48</v>
      </c>
      <c r="AM111" s="218" t="s">
        <v>987</v>
      </c>
      <c r="AN111" s="177" t="s">
        <v>988</v>
      </c>
      <c r="AO111" s="177" t="s">
        <v>989</v>
      </c>
      <c r="AQ111" s="281">
        <v>68</v>
      </c>
      <c r="AR111" s="219">
        <v>476</v>
      </c>
      <c r="AS111" s="220">
        <v>9.1538461538461533</v>
      </c>
      <c r="AT111" s="221">
        <v>0.13461538461538461</v>
      </c>
      <c r="AU111" s="222">
        <v>0.52</v>
      </c>
      <c r="AV111" s="189">
        <v>12</v>
      </c>
      <c r="AW111" s="223">
        <f t="shared" si="53"/>
        <v>6</v>
      </c>
      <c r="AX111" s="177">
        <v>5.8</v>
      </c>
      <c r="AY111" s="229">
        <v>3.8</v>
      </c>
      <c r="AZ111" s="228">
        <v>6</v>
      </c>
      <c r="BA111" s="229">
        <v>1.2</v>
      </c>
      <c r="BB111" s="229"/>
      <c r="BC111" s="229"/>
      <c r="BD111" s="229"/>
      <c r="BE111" s="229"/>
      <c r="BF111" s="229"/>
      <c r="BG111" s="182">
        <f t="shared" si="26"/>
        <v>89.142857142857153</v>
      </c>
      <c r="BH111" s="224">
        <f t="shared" si="27"/>
        <v>1.0769230769230769</v>
      </c>
      <c r="BI111" s="182">
        <f t="shared" si="28"/>
        <v>12</v>
      </c>
      <c r="BJ111" s="182">
        <f t="shared" si="29"/>
        <v>12</v>
      </c>
      <c r="BL111" s="182"/>
      <c r="BM111" s="182"/>
      <c r="BN111" s="182"/>
      <c r="BP111" s="225">
        <f t="shared" si="30"/>
        <v>12</v>
      </c>
      <c r="BQ111" s="182">
        <f t="shared" si="31"/>
        <v>89.142857142857153</v>
      </c>
      <c r="BR111" s="173" t="s">
        <v>217</v>
      </c>
      <c r="BS111" s="226">
        <f t="shared" si="39"/>
        <v>424.32</v>
      </c>
      <c r="BT111" s="227"/>
      <c r="BU111" s="227"/>
      <c r="BV111" s="227"/>
      <c r="BW111" s="227" t="s">
        <v>335</v>
      </c>
      <c r="BX111" s="230" t="s">
        <v>1181</v>
      </c>
      <c r="BY111" s="231" t="s">
        <v>1370</v>
      </c>
      <c r="CA111" s="177" t="s">
        <v>471</v>
      </c>
      <c r="CB111" s="187" t="e">
        <v>#N/A</v>
      </c>
      <c r="CC111" s="186" t="e">
        <v>#N/A</v>
      </c>
      <c r="CD111" s="186" t="e">
        <v>#N/A</v>
      </c>
      <c r="CE111" s="173" t="e">
        <v>#N/A</v>
      </c>
    </row>
    <row r="112" spans="1:89" ht="15" hidden="1" customHeight="1">
      <c r="A112" s="177" t="s">
        <v>82</v>
      </c>
      <c r="B112" s="173" t="s">
        <v>564</v>
      </c>
      <c r="C112" s="175">
        <v>6</v>
      </c>
      <c r="D112" s="173" t="s">
        <v>635</v>
      </c>
      <c r="E112" s="177" t="s">
        <v>465</v>
      </c>
      <c r="F112" s="213" t="s">
        <v>1333</v>
      </c>
      <c r="G112" s="213" t="s">
        <v>1334</v>
      </c>
      <c r="H112" s="213"/>
      <c r="I112" s="213" t="s">
        <v>1369</v>
      </c>
      <c r="J112" s="213" t="s">
        <v>1031</v>
      </c>
      <c r="K112" s="214" t="s">
        <v>88</v>
      </c>
      <c r="L112" s="213"/>
      <c r="M112" s="213"/>
      <c r="N112" s="213" t="s">
        <v>1336</v>
      </c>
      <c r="O112" s="213"/>
      <c r="P112" s="177">
        <v>5.7</v>
      </c>
      <c r="Q112" s="177">
        <v>3.65</v>
      </c>
      <c r="R112" s="177">
        <v>0.5</v>
      </c>
      <c r="S112" s="215">
        <v>730007001105</v>
      </c>
      <c r="T112" s="177">
        <v>0.1</v>
      </c>
      <c r="U112" s="178">
        <v>6.0199652777777777E-3</v>
      </c>
      <c r="V112" s="173" t="s">
        <v>565</v>
      </c>
      <c r="W112" s="217">
        <v>6</v>
      </c>
      <c r="X112" s="177">
        <v>5.8</v>
      </c>
      <c r="Y112" s="177">
        <v>3.8</v>
      </c>
      <c r="Z112" s="177">
        <v>3</v>
      </c>
      <c r="AA112" s="177">
        <v>0.6</v>
      </c>
      <c r="AB112" s="178">
        <v>3.8263888888888889E-2</v>
      </c>
      <c r="AC112" s="177">
        <v>48</v>
      </c>
      <c r="AM112" s="218" t="s">
        <v>987</v>
      </c>
      <c r="AN112" s="177" t="s">
        <v>988</v>
      </c>
      <c r="AO112" s="177" t="s">
        <v>989</v>
      </c>
      <c r="AQ112" s="281">
        <v>68</v>
      </c>
      <c r="AR112" s="219">
        <v>408</v>
      </c>
      <c r="AS112" s="220">
        <v>7.8461538461538458</v>
      </c>
      <c r="AT112" s="221">
        <v>0.11538461538461538</v>
      </c>
      <c r="AU112" s="222">
        <v>0.52</v>
      </c>
      <c r="AV112" s="189">
        <v>12</v>
      </c>
      <c r="AW112" s="223">
        <f t="shared" si="53"/>
        <v>6</v>
      </c>
      <c r="AX112" s="177">
        <v>5.8</v>
      </c>
      <c r="AY112" s="229">
        <v>3.8</v>
      </c>
      <c r="AZ112" s="228">
        <v>6</v>
      </c>
      <c r="BA112" s="229">
        <v>1.2</v>
      </c>
      <c r="BB112" s="229"/>
      <c r="BC112" s="229"/>
      <c r="BD112" s="229"/>
      <c r="BE112" s="229"/>
      <c r="BF112" s="229"/>
      <c r="BG112" s="182">
        <f t="shared" si="26"/>
        <v>104</v>
      </c>
      <c r="BH112" s="224">
        <f t="shared" si="27"/>
        <v>0.92307692307692302</v>
      </c>
      <c r="BI112" s="182">
        <f t="shared" si="28"/>
        <v>12</v>
      </c>
      <c r="BJ112" s="182">
        <f t="shared" si="29"/>
        <v>12</v>
      </c>
      <c r="BL112" s="182"/>
      <c r="BM112" s="182"/>
      <c r="BN112" s="182"/>
      <c r="BP112" s="225">
        <f t="shared" si="30"/>
        <v>12</v>
      </c>
      <c r="BQ112" s="182">
        <f t="shared" si="31"/>
        <v>104</v>
      </c>
      <c r="BR112" s="173" t="s">
        <v>217</v>
      </c>
      <c r="BS112" s="226">
        <f t="shared" si="39"/>
        <v>424.32</v>
      </c>
      <c r="BT112" s="227"/>
      <c r="BU112" s="227"/>
      <c r="BV112" s="227"/>
      <c r="BW112" s="227" t="s">
        <v>335</v>
      </c>
      <c r="BX112" s="230" t="s">
        <v>1181</v>
      </c>
      <c r="BY112" s="231" t="s">
        <v>1370</v>
      </c>
      <c r="CA112" s="177" t="s">
        <v>465</v>
      </c>
      <c r="CB112" s="187" t="e">
        <v>#N/A</v>
      </c>
      <c r="CC112" s="186" t="e">
        <v>#N/A</v>
      </c>
      <c r="CD112" s="186" t="e">
        <v>#N/A</v>
      </c>
      <c r="CE112" s="173" t="e">
        <v>#N/A</v>
      </c>
    </row>
    <row r="113" spans="1:89" ht="15" hidden="1" customHeight="1">
      <c r="A113" s="177" t="s">
        <v>82</v>
      </c>
      <c r="B113" s="173" t="s">
        <v>564</v>
      </c>
      <c r="C113" s="175">
        <v>9</v>
      </c>
      <c r="D113" s="173" t="s">
        <v>636</v>
      </c>
      <c r="E113" s="177" t="s">
        <v>474</v>
      </c>
      <c r="F113" s="213" t="s">
        <v>1333</v>
      </c>
      <c r="G113" s="213" t="s">
        <v>1334</v>
      </c>
      <c r="H113" s="213"/>
      <c r="I113" s="213" t="s">
        <v>1378</v>
      </c>
      <c r="J113" s="213" t="s">
        <v>1031</v>
      </c>
      <c r="K113" s="214" t="s">
        <v>88</v>
      </c>
      <c r="L113" s="213"/>
      <c r="M113" s="213"/>
      <c r="N113" s="213" t="s">
        <v>1336</v>
      </c>
      <c r="O113" s="213"/>
      <c r="P113" s="177">
        <v>5.7</v>
      </c>
      <c r="Q113" s="177">
        <v>3.65</v>
      </c>
      <c r="R113" s="177">
        <v>0.5</v>
      </c>
      <c r="S113" s="215" t="s">
        <v>883</v>
      </c>
      <c r="T113" s="177">
        <v>0.1</v>
      </c>
      <c r="U113" s="178">
        <v>6.0199652777777777E-3</v>
      </c>
      <c r="V113" s="173" t="s">
        <v>565</v>
      </c>
      <c r="W113" s="217">
        <v>6</v>
      </c>
      <c r="X113" s="177">
        <v>5.8</v>
      </c>
      <c r="Y113" s="177">
        <v>3.8</v>
      </c>
      <c r="Z113" s="177">
        <v>3</v>
      </c>
      <c r="AA113" s="177">
        <v>0.6</v>
      </c>
      <c r="AB113" s="178">
        <v>3.8263888888888889E-2</v>
      </c>
      <c r="AC113" s="177">
        <v>48</v>
      </c>
      <c r="AM113" s="218" t="s">
        <v>987</v>
      </c>
      <c r="AN113" s="177" t="s">
        <v>988</v>
      </c>
      <c r="AO113" s="177" t="s">
        <v>989</v>
      </c>
      <c r="AQ113" s="281">
        <v>68</v>
      </c>
      <c r="AR113" s="219">
        <v>408</v>
      </c>
      <c r="AS113" s="220">
        <v>7.8461538461538458</v>
      </c>
      <c r="AT113" s="221">
        <v>0.11538461538461538</v>
      </c>
      <c r="AU113" s="222">
        <v>0.52</v>
      </c>
      <c r="AV113" s="189">
        <v>12</v>
      </c>
      <c r="AW113" s="223">
        <f t="shared" si="53"/>
        <v>6</v>
      </c>
      <c r="AX113" s="177">
        <v>5.8</v>
      </c>
      <c r="AY113" s="229">
        <v>3.8</v>
      </c>
      <c r="AZ113" s="228">
        <v>6</v>
      </c>
      <c r="BA113" s="229">
        <v>1.2</v>
      </c>
      <c r="BB113" s="229"/>
      <c r="BC113" s="229"/>
      <c r="BD113" s="229"/>
      <c r="BE113" s="229"/>
      <c r="BF113" s="229"/>
      <c r="BG113" s="182">
        <f t="shared" si="26"/>
        <v>104</v>
      </c>
      <c r="BH113" s="224">
        <f t="shared" si="27"/>
        <v>0.92307692307692302</v>
      </c>
      <c r="BI113" s="182">
        <f t="shared" si="28"/>
        <v>12</v>
      </c>
      <c r="BJ113" s="182">
        <f t="shared" si="29"/>
        <v>12</v>
      </c>
      <c r="BL113" s="182"/>
      <c r="BM113" s="182"/>
      <c r="BN113" s="182"/>
      <c r="BP113" s="225">
        <f t="shared" si="30"/>
        <v>12</v>
      </c>
      <c r="BQ113" s="182">
        <f t="shared" si="31"/>
        <v>104</v>
      </c>
      <c r="BR113" s="173" t="s">
        <v>217</v>
      </c>
      <c r="BS113" s="226">
        <f t="shared" si="39"/>
        <v>424.32</v>
      </c>
      <c r="BT113" s="227"/>
      <c r="BU113" s="227"/>
      <c r="BV113" s="227"/>
      <c r="BW113" s="227" t="s">
        <v>335</v>
      </c>
      <c r="BX113" s="230" t="s">
        <v>1181</v>
      </c>
      <c r="BY113" s="231" t="s">
        <v>1370</v>
      </c>
      <c r="CA113" s="177" t="s">
        <v>474</v>
      </c>
      <c r="CB113" s="187" t="e">
        <v>#N/A</v>
      </c>
      <c r="CC113" s="186" t="e">
        <v>#N/A</v>
      </c>
      <c r="CD113" s="186" t="e">
        <v>#N/A</v>
      </c>
      <c r="CE113" s="173" t="e">
        <v>#N/A</v>
      </c>
    </row>
    <row r="114" spans="1:89" ht="15" hidden="1" customHeight="1">
      <c r="A114" s="177" t="s">
        <v>1073</v>
      </c>
      <c r="B114" s="233" t="s">
        <v>564</v>
      </c>
      <c r="C114" s="234">
        <v>54</v>
      </c>
      <c r="D114" s="233" t="s">
        <v>532</v>
      </c>
      <c r="E114" s="235" t="s">
        <v>531</v>
      </c>
      <c r="F114" s="213" t="s">
        <v>1379</v>
      </c>
      <c r="G114" s="213" t="s">
        <v>1380</v>
      </c>
      <c r="H114" s="213"/>
      <c r="I114" s="213"/>
      <c r="J114" s="213"/>
      <c r="K114" s="214"/>
      <c r="L114" s="213"/>
      <c r="M114" s="213"/>
      <c r="N114" s="213"/>
      <c r="O114" s="213"/>
      <c r="P114" s="235">
        <v>28</v>
      </c>
      <c r="Q114" s="235">
        <v>5</v>
      </c>
      <c r="R114" s="235">
        <v>2</v>
      </c>
      <c r="S114" s="215">
        <v>730007000801</v>
      </c>
      <c r="T114" s="235">
        <v>0.95</v>
      </c>
      <c r="U114" s="236">
        <v>0.16203703703703703</v>
      </c>
      <c r="V114" s="233" t="s">
        <v>637</v>
      </c>
      <c r="W114" s="235" t="s">
        <v>335</v>
      </c>
      <c r="X114" s="235" t="s">
        <v>335</v>
      </c>
      <c r="Y114" s="235" t="s">
        <v>335</v>
      </c>
      <c r="Z114" s="235" t="s">
        <v>335</v>
      </c>
      <c r="AA114" s="235" t="s">
        <v>335</v>
      </c>
      <c r="AB114" s="236" t="e">
        <v>#VALUE!</v>
      </c>
      <c r="AC114" s="235">
        <v>24</v>
      </c>
      <c r="AD114" s="235"/>
      <c r="AE114" s="235"/>
      <c r="AF114" s="235"/>
      <c r="AG114" s="235"/>
      <c r="AH114" s="235"/>
      <c r="AI114" s="235"/>
      <c r="AJ114" s="235"/>
      <c r="AK114" s="235"/>
      <c r="AL114" s="235"/>
      <c r="AM114" s="237" t="s">
        <v>987</v>
      </c>
      <c r="AN114" s="235" t="s">
        <v>988</v>
      </c>
      <c r="AO114" s="235" t="s">
        <v>989</v>
      </c>
      <c r="AP114" s="233"/>
      <c r="AQ114" s="282">
        <v>68</v>
      </c>
      <c r="AR114" s="238">
        <v>408</v>
      </c>
      <c r="AS114" s="239">
        <v>7.8461538461538458</v>
      </c>
      <c r="AT114" s="240">
        <v>0.11538461538461538</v>
      </c>
      <c r="AU114" s="241">
        <v>3.0769230769230766</v>
      </c>
      <c r="AV114" s="233">
        <v>6</v>
      </c>
      <c r="AW114" s="242">
        <f>AV114-AC114</f>
        <v>-18</v>
      </c>
      <c r="AX114" s="235">
        <v>9.75</v>
      </c>
      <c r="AY114" s="235">
        <v>29.75</v>
      </c>
      <c r="AZ114" s="235">
        <f>(12/24)*6</f>
        <v>3</v>
      </c>
      <c r="BA114" s="235">
        <f>(22.9/24)*6</f>
        <v>5.7249999999999996</v>
      </c>
      <c r="BB114" s="235"/>
      <c r="BC114" s="235"/>
      <c r="BD114" s="235"/>
      <c r="BE114" s="235"/>
      <c r="BF114" s="235"/>
      <c r="BG114" s="243">
        <f t="shared" si="26"/>
        <v>52</v>
      </c>
      <c r="BH114" s="244">
        <f t="shared" si="27"/>
        <v>0.92307692307692302</v>
      </c>
      <c r="BI114" s="243">
        <f t="shared" si="28"/>
        <v>6</v>
      </c>
      <c r="BJ114" s="243">
        <f t="shared" si="29"/>
        <v>6</v>
      </c>
      <c r="BK114" s="243"/>
      <c r="BL114" s="243"/>
      <c r="BM114" s="243"/>
      <c r="BN114" s="243"/>
      <c r="BO114" s="233"/>
      <c r="BP114" s="245">
        <f t="shared" si="30"/>
        <v>6</v>
      </c>
      <c r="BQ114" s="243">
        <f t="shared" si="31"/>
        <v>52</v>
      </c>
      <c r="BR114" s="233" t="s">
        <v>248</v>
      </c>
      <c r="BS114" s="246">
        <v>0</v>
      </c>
      <c r="BT114" s="247"/>
      <c r="BU114" s="247"/>
      <c r="BV114" s="247"/>
      <c r="BW114" s="247"/>
      <c r="BX114" s="233" t="s">
        <v>990</v>
      </c>
      <c r="BY114" s="233"/>
      <c r="CA114" s="235" t="s">
        <v>531</v>
      </c>
      <c r="CB114" s="187" t="e">
        <v>#N/A</v>
      </c>
      <c r="CC114" s="186" t="e">
        <v>#N/A</v>
      </c>
      <c r="CD114" s="186" t="e">
        <v>#N/A</v>
      </c>
      <c r="CE114" s="173" t="e">
        <v>#N/A</v>
      </c>
    </row>
    <row r="115" spans="1:89" ht="15" hidden="1" customHeight="1">
      <c r="A115" s="177" t="s">
        <v>1073</v>
      </c>
      <c r="B115" s="233" t="s">
        <v>564</v>
      </c>
      <c r="C115" s="234">
        <v>44</v>
      </c>
      <c r="D115" s="233" t="s">
        <v>638</v>
      </c>
      <c r="E115" s="235" t="s">
        <v>283</v>
      </c>
      <c r="F115" s="213" t="s">
        <v>1381</v>
      </c>
      <c r="G115" s="213" t="s">
        <v>1382</v>
      </c>
      <c r="H115" s="213"/>
      <c r="I115" s="213"/>
      <c r="J115" s="213"/>
      <c r="K115" s="214"/>
      <c r="L115" s="213"/>
      <c r="M115" s="213"/>
      <c r="N115" s="213"/>
      <c r="O115" s="213"/>
      <c r="P115" s="235">
        <v>5.7</v>
      </c>
      <c r="Q115" s="235">
        <v>3.65</v>
      </c>
      <c r="R115" s="235">
        <v>1</v>
      </c>
      <c r="S115" s="215">
        <v>730007000252</v>
      </c>
      <c r="T115" s="235">
        <v>7.0000000000000007E-2</v>
      </c>
      <c r="U115" s="236">
        <v>1.2039930555555555E-2</v>
      </c>
      <c r="V115" s="233" t="s">
        <v>565</v>
      </c>
      <c r="W115" s="235">
        <v>12</v>
      </c>
      <c r="X115" s="235">
        <v>3</v>
      </c>
      <c r="Y115" s="235">
        <v>3.6</v>
      </c>
      <c r="Z115" s="235">
        <v>5</v>
      </c>
      <c r="AA115" s="235">
        <v>0.2</v>
      </c>
      <c r="AB115" s="236">
        <v>3.125E-2</v>
      </c>
      <c r="AC115" s="235">
        <v>48</v>
      </c>
      <c r="AD115" s="235"/>
      <c r="AE115" s="235"/>
      <c r="AF115" s="235"/>
      <c r="AG115" s="235"/>
      <c r="AH115" s="235"/>
      <c r="AI115" s="235"/>
      <c r="AJ115" s="235"/>
      <c r="AK115" s="235"/>
      <c r="AL115" s="235"/>
      <c r="AM115" s="237" t="s">
        <v>987</v>
      </c>
      <c r="AN115" s="235" t="s">
        <v>988</v>
      </c>
      <c r="AO115" s="235" t="s">
        <v>989</v>
      </c>
      <c r="AP115" s="233"/>
      <c r="AQ115" s="282">
        <v>68</v>
      </c>
      <c r="AR115" s="238">
        <v>408</v>
      </c>
      <c r="AS115" s="239">
        <v>7.8461538461538458</v>
      </c>
      <c r="AT115" s="240">
        <v>0.11538461538461538</v>
      </c>
      <c r="AU115" s="241">
        <v>0.31769230769230766</v>
      </c>
      <c r="AV115" s="233">
        <v>12</v>
      </c>
      <c r="AW115" s="242">
        <f>AV115-W115</f>
        <v>0</v>
      </c>
      <c r="AX115" s="250">
        <v>3</v>
      </c>
      <c r="AY115" s="235">
        <v>3.6</v>
      </c>
      <c r="AZ115" s="235">
        <v>5</v>
      </c>
      <c r="BA115" s="250">
        <v>0.2</v>
      </c>
      <c r="BB115" s="250"/>
      <c r="BC115" s="250"/>
      <c r="BD115" s="250"/>
      <c r="BE115" s="250"/>
      <c r="BF115" s="250"/>
      <c r="BG115" s="243">
        <f t="shared" si="26"/>
        <v>104</v>
      </c>
      <c r="BH115" s="244">
        <f t="shared" si="27"/>
        <v>0.92307692307692302</v>
      </c>
      <c r="BI115" s="243">
        <f t="shared" si="28"/>
        <v>12</v>
      </c>
      <c r="BJ115" s="243">
        <f t="shared" si="29"/>
        <v>12</v>
      </c>
      <c r="BK115" s="243"/>
      <c r="BL115" s="243"/>
      <c r="BM115" s="243"/>
      <c r="BN115" s="243"/>
      <c r="BO115" s="233"/>
      <c r="BP115" s="245">
        <f t="shared" si="30"/>
        <v>12</v>
      </c>
      <c r="BQ115" s="243">
        <f t="shared" si="31"/>
        <v>104</v>
      </c>
      <c r="BR115" s="233" t="s">
        <v>248</v>
      </c>
      <c r="BS115" s="246">
        <v>0</v>
      </c>
      <c r="BT115" s="247"/>
      <c r="BU115" s="247"/>
      <c r="BV115" s="247"/>
      <c r="BW115" s="247" t="s">
        <v>335</v>
      </c>
      <c r="BX115" s="233" t="s">
        <v>1383</v>
      </c>
      <c r="BY115" s="233" t="s">
        <v>1384</v>
      </c>
      <c r="CA115" s="235" t="s">
        <v>283</v>
      </c>
      <c r="CB115" s="187" t="e">
        <v>#N/A</v>
      </c>
      <c r="CC115" s="186" t="e">
        <v>#N/A</v>
      </c>
      <c r="CD115" s="186" t="e">
        <v>#N/A</v>
      </c>
      <c r="CE115" s="173" t="e">
        <v>#N/A</v>
      </c>
    </row>
    <row r="116" spans="1:89" ht="15" hidden="1" customHeight="1">
      <c r="A116" s="177" t="s">
        <v>1073</v>
      </c>
      <c r="B116" s="233" t="s">
        <v>564</v>
      </c>
      <c r="C116" s="234">
        <v>43</v>
      </c>
      <c r="D116" s="233" t="s">
        <v>639</v>
      </c>
      <c r="E116" s="235" t="s">
        <v>280</v>
      </c>
      <c r="F116" s="213" t="s">
        <v>1381</v>
      </c>
      <c r="G116" s="213" t="s">
        <v>1382</v>
      </c>
      <c r="H116" s="213"/>
      <c r="I116" s="213"/>
      <c r="J116" s="213"/>
      <c r="K116" s="214"/>
      <c r="L116" s="213"/>
      <c r="M116" s="213"/>
      <c r="N116" s="213"/>
      <c r="O116" s="213"/>
      <c r="P116" s="235">
        <v>5.7</v>
      </c>
      <c r="Q116" s="235">
        <v>3.65</v>
      </c>
      <c r="R116" s="235">
        <v>1</v>
      </c>
      <c r="S116" s="215">
        <v>730007000245</v>
      </c>
      <c r="T116" s="235">
        <v>7.0000000000000007E-2</v>
      </c>
      <c r="U116" s="236">
        <v>1.2039930555555555E-2</v>
      </c>
      <c r="V116" s="233" t="s">
        <v>565</v>
      </c>
      <c r="W116" s="235">
        <v>12</v>
      </c>
      <c r="X116" s="235">
        <v>3.8</v>
      </c>
      <c r="Y116" s="235">
        <v>3.7</v>
      </c>
      <c r="Z116" s="235">
        <v>5</v>
      </c>
      <c r="AA116" s="235">
        <v>0.2</v>
      </c>
      <c r="AB116" s="236">
        <v>4.0682870370370369E-2</v>
      </c>
      <c r="AC116" s="235">
        <v>48</v>
      </c>
      <c r="AD116" s="235"/>
      <c r="AE116" s="235"/>
      <c r="AF116" s="235"/>
      <c r="AG116" s="235"/>
      <c r="AH116" s="235"/>
      <c r="AI116" s="235"/>
      <c r="AJ116" s="235"/>
      <c r="AK116" s="235"/>
      <c r="AL116" s="235"/>
      <c r="AM116" s="237" t="s">
        <v>987</v>
      </c>
      <c r="AN116" s="235" t="s">
        <v>988</v>
      </c>
      <c r="AO116" s="235" t="s">
        <v>989</v>
      </c>
      <c r="AP116" s="233"/>
      <c r="AQ116" s="282">
        <v>68</v>
      </c>
      <c r="AR116" s="238">
        <v>680.00000000000011</v>
      </c>
      <c r="AS116" s="239">
        <v>13.076923076923078</v>
      </c>
      <c r="AT116" s="240">
        <v>0.19230769230769232</v>
      </c>
      <c r="AU116" s="241">
        <v>0.29015384615384615</v>
      </c>
      <c r="AV116" s="233">
        <v>12</v>
      </c>
      <c r="AW116" s="242">
        <f>AV116-W116</f>
        <v>0</v>
      </c>
      <c r="AX116" s="250">
        <v>3.8</v>
      </c>
      <c r="AY116" s="235">
        <v>3.7</v>
      </c>
      <c r="AZ116" s="235">
        <v>5</v>
      </c>
      <c r="BA116" s="250">
        <v>0.2</v>
      </c>
      <c r="BB116" s="250"/>
      <c r="BC116" s="250"/>
      <c r="BD116" s="250"/>
      <c r="BE116" s="250"/>
      <c r="BF116" s="250"/>
      <c r="BG116" s="243">
        <f t="shared" si="26"/>
        <v>62.4</v>
      </c>
      <c r="BH116" s="244">
        <f t="shared" si="27"/>
        <v>1.5384615384615385</v>
      </c>
      <c r="BI116" s="243">
        <f t="shared" si="28"/>
        <v>12</v>
      </c>
      <c r="BJ116" s="243">
        <f t="shared" si="29"/>
        <v>12</v>
      </c>
      <c r="BK116" s="243"/>
      <c r="BL116" s="243"/>
      <c r="BM116" s="243"/>
      <c r="BN116" s="243"/>
      <c r="BO116" s="233"/>
      <c r="BP116" s="245">
        <f t="shared" si="30"/>
        <v>12</v>
      </c>
      <c r="BQ116" s="243">
        <f t="shared" si="31"/>
        <v>62.4</v>
      </c>
      <c r="BR116" s="233" t="s">
        <v>248</v>
      </c>
      <c r="BS116" s="246">
        <v>0</v>
      </c>
      <c r="BT116" s="247"/>
      <c r="BU116" s="247"/>
      <c r="BV116" s="247"/>
      <c r="BW116" s="247" t="s">
        <v>335</v>
      </c>
      <c r="BX116" s="233" t="s">
        <v>1383</v>
      </c>
      <c r="BY116" s="233" t="s">
        <v>1384</v>
      </c>
      <c r="CA116" s="235" t="s">
        <v>280</v>
      </c>
      <c r="CB116" s="187" t="e">
        <v>#N/A</v>
      </c>
      <c r="CC116" s="186" t="e">
        <v>#N/A</v>
      </c>
      <c r="CD116" s="186" t="e">
        <v>#N/A</v>
      </c>
      <c r="CE116" s="173" t="e">
        <v>#N/A</v>
      </c>
    </row>
    <row r="117" spans="1:89" ht="15" hidden="1" customHeight="1">
      <c r="A117" s="177" t="s">
        <v>1073</v>
      </c>
      <c r="B117" s="233" t="s">
        <v>564</v>
      </c>
      <c r="C117" s="234">
        <v>86</v>
      </c>
      <c r="D117" s="233" t="s">
        <v>529</v>
      </c>
      <c r="E117" s="235" t="s">
        <v>528</v>
      </c>
      <c r="F117" s="213" t="s">
        <v>1379</v>
      </c>
      <c r="G117" s="213" t="s">
        <v>1380</v>
      </c>
      <c r="H117" s="213"/>
      <c r="I117" s="213"/>
      <c r="J117" s="213"/>
      <c r="K117" s="214"/>
      <c r="L117" s="213"/>
      <c r="M117" s="213"/>
      <c r="N117" s="213"/>
      <c r="O117" s="213"/>
      <c r="P117" s="235">
        <v>38.25</v>
      </c>
      <c r="Q117" s="235">
        <v>4</v>
      </c>
      <c r="R117" s="235">
        <v>3</v>
      </c>
      <c r="S117" s="215">
        <v>730007000818</v>
      </c>
      <c r="T117" s="235">
        <v>1.4</v>
      </c>
      <c r="U117" s="236">
        <v>0.265625</v>
      </c>
      <c r="V117" s="233" t="s">
        <v>637</v>
      </c>
      <c r="W117" s="235" t="s">
        <v>335</v>
      </c>
      <c r="X117" s="235" t="s">
        <v>335</v>
      </c>
      <c r="Y117" s="235" t="s">
        <v>335</v>
      </c>
      <c r="Z117" s="235" t="s">
        <v>335</v>
      </c>
      <c r="AA117" s="235" t="s">
        <v>335</v>
      </c>
      <c r="AB117" s="236" t="e">
        <v>#VALUE!</v>
      </c>
      <c r="AC117" s="235">
        <v>12</v>
      </c>
      <c r="AD117" s="235"/>
      <c r="AE117" s="235"/>
      <c r="AF117" s="235"/>
      <c r="AG117" s="235"/>
      <c r="AH117" s="235"/>
      <c r="AI117" s="235"/>
      <c r="AJ117" s="235"/>
      <c r="AK117" s="235"/>
      <c r="AL117" s="235"/>
      <c r="AM117" s="237" t="s">
        <v>987</v>
      </c>
      <c r="AN117" s="235" t="s">
        <v>988</v>
      </c>
      <c r="AO117" s="235" t="s">
        <v>989</v>
      </c>
      <c r="AP117" s="233"/>
      <c r="AQ117" s="282">
        <v>1599</v>
      </c>
      <c r="AR117" s="238">
        <v>9594</v>
      </c>
      <c r="AS117" s="239">
        <v>184.5</v>
      </c>
      <c r="AT117" s="240">
        <v>0.11538461538461539</v>
      </c>
      <c r="AU117" s="241">
        <v>7.8153846153846152</v>
      </c>
      <c r="AV117" s="233">
        <v>3</v>
      </c>
      <c r="AW117" s="242">
        <f>AV117-AC117</f>
        <v>-9</v>
      </c>
      <c r="AX117" s="235"/>
      <c r="AY117" s="235"/>
      <c r="AZ117" s="235"/>
      <c r="BA117" s="235"/>
      <c r="BB117" s="235"/>
      <c r="BC117" s="235"/>
      <c r="BD117" s="235"/>
      <c r="BE117" s="235"/>
      <c r="BF117" s="235"/>
      <c r="BG117" s="243">
        <f t="shared" si="26"/>
        <v>26</v>
      </c>
      <c r="BH117" s="244">
        <f t="shared" si="27"/>
        <v>0.92307692307692313</v>
      </c>
      <c r="BI117" s="243">
        <f t="shared" si="28"/>
        <v>3</v>
      </c>
      <c r="BJ117" s="243">
        <f t="shared" si="29"/>
        <v>3</v>
      </c>
      <c r="BK117" s="243"/>
      <c r="BL117" s="243"/>
      <c r="BM117" s="243"/>
      <c r="BN117" s="243"/>
      <c r="BO117" s="233"/>
      <c r="BP117" s="245">
        <f t="shared" si="30"/>
        <v>3</v>
      </c>
      <c r="BQ117" s="243">
        <f t="shared" si="31"/>
        <v>26</v>
      </c>
      <c r="BR117" s="233" t="s">
        <v>248</v>
      </c>
      <c r="BS117" s="246"/>
      <c r="BT117" s="247" t="s">
        <v>335</v>
      </c>
      <c r="BU117" s="247"/>
      <c r="BV117" s="247"/>
      <c r="BW117" s="247" t="s">
        <v>335</v>
      </c>
      <c r="BX117" s="233" t="s">
        <v>1385</v>
      </c>
      <c r="BY117" s="233"/>
      <c r="CA117" s="235" t="s">
        <v>528</v>
      </c>
      <c r="CB117" s="187" t="e">
        <v>#N/A</v>
      </c>
      <c r="CC117" s="186" t="e">
        <v>#N/A</v>
      </c>
      <c r="CD117" s="186" t="e">
        <v>#N/A</v>
      </c>
      <c r="CE117" s="173" t="e">
        <v>#N/A</v>
      </c>
    </row>
    <row r="118" spans="1:89" ht="15" hidden="1" customHeight="1">
      <c r="A118" s="177" t="s">
        <v>1073</v>
      </c>
      <c r="B118" s="233" t="s">
        <v>564</v>
      </c>
      <c r="C118" s="234">
        <v>77</v>
      </c>
      <c r="D118" s="233" t="s">
        <v>640</v>
      </c>
      <c r="E118" s="235" t="s">
        <v>487</v>
      </c>
      <c r="F118" s="213" t="s">
        <v>1004</v>
      </c>
      <c r="G118" s="213" t="s">
        <v>1005</v>
      </c>
      <c r="H118" s="213"/>
      <c r="I118" s="213"/>
      <c r="J118" s="213"/>
      <c r="K118" s="214"/>
      <c r="L118" s="213"/>
      <c r="M118" s="213"/>
      <c r="N118" s="213"/>
      <c r="O118" s="213"/>
      <c r="P118" s="235">
        <v>16.25</v>
      </c>
      <c r="Q118" s="235">
        <v>5</v>
      </c>
      <c r="R118" s="235">
        <v>3</v>
      </c>
      <c r="S118" s="215" t="s">
        <v>884</v>
      </c>
      <c r="T118" s="235">
        <v>2</v>
      </c>
      <c r="U118" s="236">
        <v>0.14105902777777779</v>
      </c>
      <c r="V118" s="233" t="s">
        <v>572</v>
      </c>
      <c r="W118" s="235" t="s">
        <v>335</v>
      </c>
      <c r="X118" s="235" t="s">
        <v>335</v>
      </c>
      <c r="Y118" s="235" t="s">
        <v>335</v>
      </c>
      <c r="Z118" s="235" t="s">
        <v>335</v>
      </c>
      <c r="AA118" s="235" t="s">
        <v>335</v>
      </c>
      <c r="AB118" s="236" t="e">
        <v>#VALUE!</v>
      </c>
      <c r="AC118" s="235">
        <v>12</v>
      </c>
      <c r="AD118" s="235"/>
      <c r="AE118" s="235"/>
      <c r="AF118" s="235"/>
      <c r="AG118" s="235"/>
      <c r="AH118" s="235"/>
      <c r="AI118" s="235"/>
      <c r="AJ118" s="235"/>
      <c r="AK118" s="235"/>
      <c r="AL118" s="235"/>
      <c r="AM118" s="237" t="s">
        <v>987</v>
      </c>
      <c r="AN118" s="235" t="s">
        <v>988</v>
      </c>
      <c r="AO118" s="235" t="s">
        <v>989</v>
      </c>
      <c r="AP118" s="233"/>
      <c r="AQ118" s="282">
        <v>1503</v>
      </c>
      <c r="AR118" s="238">
        <v>12024.000000000002</v>
      </c>
      <c r="AS118" s="239">
        <v>231.23076923076925</v>
      </c>
      <c r="AT118" s="240">
        <v>0.15384615384615385</v>
      </c>
      <c r="AU118" s="241">
        <v>5.2192307692307693</v>
      </c>
      <c r="AV118" s="233">
        <v>3</v>
      </c>
      <c r="AW118" s="242">
        <f>AV118-AC118</f>
        <v>-9</v>
      </c>
      <c r="AX118" s="235"/>
      <c r="AY118" s="235"/>
      <c r="AZ118" s="235"/>
      <c r="BA118" s="235"/>
      <c r="BB118" s="235"/>
      <c r="BC118" s="235"/>
      <c r="BD118" s="235"/>
      <c r="BE118" s="235"/>
      <c r="BF118" s="235"/>
      <c r="BG118" s="243">
        <f t="shared" si="26"/>
        <v>19.5</v>
      </c>
      <c r="BH118" s="244">
        <f t="shared" si="27"/>
        <v>1.2307692307692308</v>
      </c>
      <c r="BI118" s="243">
        <f t="shared" si="28"/>
        <v>3</v>
      </c>
      <c r="BJ118" s="243">
        <f t="shared" si="29"/>
        <v>3</v>
      </c>
      <c r="BK118" s="243"/>
      <c r="BL118" s="243"/>
      <c r="BM118" s="243"/>
      <c r="BN118" s="243"/>
      <c r="BO118" s="233"/>
      <c r="BP118" s="245">
        <f t="shared" si="30"/>
        <v>3</v>
      </c>
      <c r="BQ118" s="243">
        <f t="shared" si="31"/>
        <v>19.5</v>
      </c>
      <c r="BR118" s="233" t="s">
        <v>204</v>
      </c>
      <c r="BS118" s="246"/>
      <c r="BT118" s="247" t="s">
        <v>335</v>
      </c>
      <c r="BU118" s="247"/>
      <c r="BV118" s="247"/>
      <c r="BW118" s="247" t="s">
        <v>335</v>
      </c>
      <c r="BX118" s="233" t="s">
        <v>1385</v>
      </c>
      <c r="BY118" s="233"/>
      <c r="CA118" s="235" t="s">
        <v>487</v>
      </c>
      <c r="CB118" s="187" t="e">
        <v>#N/A</v>
      </c>
      <c r="CC118" s="186" t="e">
        <v>#N/A</v>
      </c>
      <c r="CD118" s="186" t="e">
        <v>#N/A</v>
      </c>
      <c r="CE118" s="173" t="e">
        <v>#N/A</v>
      </c>
    </row>
    <row r="119" spans="1:89" ht="15" hidden="1" customHeight="1">
      <c r="A119" s="177" t="s">
        <v>1073</v>
      </c>
      <c r="B119" s="233" t="s">
        <v>564</v>
      </c>
      <c r="C119" s="234">
        <v>55</v>
      </c>
      <c r="D119" s="233" t="s">
        <v>641</v>
      </c>
      <c r="E119" s="235" t="s">
        <v>312</v>
      </c>
      <c r="F119" s="213" t="s">
        <v>1056</v>
      </c>
      <c r="G119" s="213" t="s">
        <v>1057</v>
      </c>
      <c r="H119" s="213"/>
      <c r="I119" s="213"/>
      <c r="J119" s="213"/>
      <c r="K119" s="214"/>
      <c r="L119" s="213"/>
      <c r="M119" s="213"/>
      <c r="N119" s="213"/>
      <c r="O119" s="213"/>
      <c r="P119" s="235">
        <v>7.87</v>
      </c>
      <c r="Q119" s="235">
        <v>5</v>
      </c>
      <c r="R119" s="235">
        <v>3</v>
      </c>
      <c r="S119" s="215" t="s">
        <v>840</v>
      </c>
      <c r="T119" s="235">
        <v>0.4</v>
      </c>
      <c r="U119" s="236">
        <v>6.8315972222222229E-2</v>
      </c>
      <c r="V119" s="233" t="s">
        <v>565</v>
      </c>
      <c r="W119" s="235" t="s">
        <v>335</v>
      </c>
      <c r="X119" s="235" t="s">
        <v>335</v>
      </c>
      <c r="Y119" s="235" t="s">
        <v>335</v>
      </c>
      <c r="Z119" s="235" t="s">
        <v>335</v>
      </c>
      <c r="AA119" s="235" t="s">
        <v>335</v>
      </c>
      <c r="AB119" s="236" t="e">
        <v>#VALUE!</v>
      </c>
      <c r="AC119" s="235">
        <v>12</v>
      </c>
      <c r="AD119" s="235"/>
      <c r="AE119" s="235"/>
      <c r="AF119" s="235"/>
      <c r="AG119" s="235"/>
      <c r="AH119" s="235"/>
      <c r="AI119" s="235"/>
      <c r="AJ119" s="235"/>
      <c r="AK119" s="235"/>
      <c r="AL119" s="235"/>
      <c r="AM119" s="237" t="s">
        <v>987</v>
      </c>
      <c r="AN119" s="235" t="s">
        <v>988</v>
      </c>
      <c r="AO119" s="235" t="s">
        <v>989</v>
      </c>
      <c r="AP119" s="233"/>
      <c r="AQ119" s="282">
        <v>184</v>
      </c>
      <c r="AR119" s="238">
        <v>1840</v>
      </c>
      <c r="AS119" s="239">
        <v>35.384615384615387</v>
      </c>
      <c r="AT119" s="240">
        <v>0.19230769230769232</v>
      </c>
      <c r="AU119" s="241">
        <v>1.7692307692307689</v>
      </c>
      <c r="AV119" s="233">
        <v>3</v>
      </c>
      <c r="AW119" s="242">
        <f>AV119-AC119</f>
        <v>-9</v>
      </c>
      <c r="AX119" s="235"/>
      <c r="AY119" s="235"/>
      <c r="AZ119" s="235"/>
      <c r="BA119" s="235"/>
      <c r="BB119" s="235"/>
      <c r="BC119" s="235"/>
      <c r="BD119" s="235"/>
      <c r="BE119" s="235"/>
      <c r="BF119" s="235"/>
      <c r="BG119" s="243">
        <f t="shared" si="26"/>
        <v>15.6</v>
      </c>
      <c r="BH119" s="244">
        <f t="shared" si="27"/>
        <v>1.5384615384615385</v>
      </c>
      <c r="BI119" s="243">
        <f t="shared" si="28"/>
        <v>3</v>
      </c>
      <c r="BJ119" s="243">
        <f t="shared" si="29"/>
        <v>3</v>
      </c>
      <c r="BK119" s="243"/>
      <c r="BL119" s="243"/>
      <c r="BM119" s="243"/>
      <c r="BN119" s="243"/>
      <c r="BO119" s="233"/>
      <c r="BP119" s="245">
        <f t="shared" si="30"/>
        <v>3</v>
      </c>
      <c r="BQ119" s="243">
        <f t="shared" si="31"/>
        <v>15.6</v>
      </c>
      <c r="BR119" s="233" t="s">
        <v>204</v>
      </c>
      <c r="BS119" s="246"/>
      <c r="BT119" s="247"/>
      <c r="BU119" s="247" t="s">
        <v>335</v>
      </c>
      <c r="BV119" s="247"/>
      <c r="BW119" s="247" t="s">
        <v>335</v>
      </c>
      <c r="BX119" s="233" t="s">
        <v>1385</v>
      </c>
      <c r="BY119" s="233"/>
      <c r="CA119" s="235" t="s">
        <v>312</v>
      </c>
      <c r="CB119" s="187" t="e">
        <v>#N/A</v>
      </c>
      <c r="CC119" s="186" t="e">
        <v>#N/A</v>
      </c>
      <c r="CD119" s="186" t="e">
        <v>#N/A</v>
      </c>
      <c r="CE119" s="173" t="e">
        <v>#N/A</v>
      </c>
    </row>
    <row r="120" spans="1:89" ht="15" hidden="1" customHeight="1">
      <c r="A120" s="177" t="s">
        <v>82</v>
      </c>
      <c r="B120" s="173" t="s">
        <v>564</v>
      </c>
      <c r="C120" s="175">
        <v>42</v>
      </c>
      <c r="D120" s="173" t="s">
        <v>642</v>
      </c>
      <c r="E120" s="177" t="s">
        <v>431</v>
      </c>
      <c r="F120" s="213" t="s">
        <v>1045</v>
      </c>
      <c r="G120" s="213" t="s">
        <v>1046</v>
      </c>
      <c r="H120" s="213"/>
      <c r="I120" s="213" t="s">
        <v>1083</v>
      </c>
      <c r="J120" s="213" t="s">
        <v>1048</v>
      </c>
      <c r="K120" s="214" t="s">
        <v>401</v>
      </c>
      <c r="L120" s="213" t="s">
        <v>1386</v>
      </c>
      <c r="M120" s="213" t="s">
        <v>1387</v>
      </c>
      <c r="N120" s="213"/>
      <c r="O120" s="213"/>
      <c r="P120" s="177">
        <v>10.5</v>
      </c>
      <c r="Q120" s="177">
        <v>4.5</v>
      </c>
      <c r="R120" s="177">
        <v>0.5</v>
      </c>
      <c r="S120" s="215">
        <v>730007000221</v>
      </c>
      <c r="T120" s="177">
        <v>1.06</v>
      </c>
      <c r="U120" s="178">
        <v>1.3671875E-2</v>
      </c>
      <c r="V120" s="173" t="s">
        <v>577</v>
      </c>
      <c r="W120" s="217">
        <v>12</v>
      </c>
      <c r="X120" s="177">
        <v>5.7</v>
      </c>
      <c r="Y120" s="177">
        <v>15</v>
      </c>
      <c r="Z120" s="177">
        <v>12</v>
      </c>
      <c r="AA120" s="177">
        <v>12.76</v>
      </c>
      <c r="AB120" s="178">
        <v>0.59375</v>
      </c>
      <c r="AC120" s="177">
        <v>24</v>
      </c>
      <c r="AM120" s="218" t="s">
        <v>987</v>
      </c>
      <c r="AN120" s="177" t="s">
        <v>988</v>
      </c>
      <c r="AO120" s="177" t="s">
        <v>989</v>
      </c>
      <c r="AQ120" s="281">
        <v>68</v>
      </c>
      <c r="AR120" s="219">
        <v>2244</v>
      </c>
      <c r="AS120" s="220">
        <v>43.153846153846153</v>
      </c>
      <c r="AT120" s="221">
        <v>0.63461538461538458</v>
      </c>
      <c r="AU120" s="222">
        <v>1.8601538461538463</v>
      </c>
      <c r="AV120" s="189">
        <v>12</v>
      </c>
      <c r="AW120" s="223">
        <f t="shared" ref="AW120:AW137" si="57">AV120-W120</f>
        <v>0</v>
      </c>
      <c r="AX120" s="177">
        <v>5.7</v>
      </c>
      <c r="AY120" s="177">
        <v>15</v>
      </c>
      <c r="AZ120" s="177">
        <v>12</v>
      </c>
      <c r="BA120" s="177">
        <v>12.76</v>
      </c>
      <c r="BG120" s="182">
        <f t="shared" si="26"/>
        <v>18.90909090909091</v>
      </c>
      <c r="BH120" s="224">
        <f t="shared" si="27"/>
        <v>5.0769230769230766</v>
      </c>
      <c r="BI120" s="182">
        <f t="shared" si="28"/>
        <v>12</v>
      </c>
      <c r="BJ120" s="182">
        <f t="shared" si="29"/>
        <v>12</v>
      </c>
      <c r="BL120" s="182"/>
      <c r="BM120" s="182"/>
      <c r="BN120" s="182"/>
      <c r="BP120" s="225">
        <f t="shared" si="30"/>
        <v>12</v>
      </c>
      <c r="BQ120" s="182">
        <f t="shared" si="31"/>
        <v>18.90909090909091</v>
      </c>
      <c r="BR120" s="173" t="s">
        <v>367</v>
      </c>
      <c r="BS120" s="226">
        <f>AV120*AU120*AQ120</f>
        <v>1517.8855384615385</v>
      </c>
      <c r="BT120" s="227"/>
      <c r="BU120" s="227"/>
      <c r="BV120" s="227"/>
      <c r="BW120" s="227" t="s">
        <v>335</v>
      </c>
      <c r="BX120" s="189" t="s">
        <v>1014</v>
      </c>
      <c r="BY120" s="189"/>
      <c r="CA120" s="177" t="s">
        <v>431</v>
      </c>
      <c r="CB120" s="187" t="e">
        <v>#N/A</v>
      </c>
      <c r="CC120" s="186" t="e">
        <v>#N/A</v>
      </c>
      <c r="CD120" s="186" t="e">
        <v>#N/A</v>
      </c>
      <c r="CE120" s="173" t="e">
        <v>#N/A</v>
      </c>
    </row>
    <row r="121" spans="1:89" ht="15" hidden="1" customHeight="1">
      <c r="A121" s="177" t="s">
        <v>82</v>
      </c>
      <c r="B121" s="173" t="s">
        <v>564</v>
      </c>
      <c r="C121" s="175">
        <v>40</v>
      </c>
      <c r="D121" s="173" t="s">
        <v>643</v>
      </c>
      <c r="E121" s="177" t="s">
        <v>428</v>
      </c>
      <c r="F121" s="213" t="s">
        <v>1045</v>
      </c>
      <c r="G121" s="213" t="s">
        <v>1046</v>
      </c>
      <c r="H121" s="213"/>
      <c r="I121" s="213" t="s">
        <v>1339</v>
      </c>
      <c r="J121" s="213" t="s">
        <v>1048</v>
      </c>
      <c r="K121" s="214" t="s">
        <v>401</v>
      </c>
      <c r="L121" s="213" t="s">
        <v>1388</v>
      </c>
      <c r="M121" s="213" t="s">
        <v>1389</v>
      </c>
      <c r="N121" s="213"/>
      <c r="O121" s="213"/>
      <c r="P121" s="177">
        <v>8.5</v>
      </c>
      <c r="Q121" s="177">
        <v>4.5</v>
      </c>
      <c r="R121" s="177">
        <v>0.5</v>
      </c>
      <c r="S121" s="215">
        <v>730007000177</v>
      </c>
      <c r="T121" s="177">
        <v>0.93</v>
      </c>
      <c r="U121" s="178">
        <v>1.1067708333333334E-2</v>
      </c>
      <c r="V121" s="173" t="s">
        <v>577</v>
      </c>
      <c r="W121" s="217">
        <v>12</v>
      </c>
      <c r="X121" s="177">
        <v>5.7</v>
      </c>
      <c r="Y121" s="177">
        <v>14</v>
      </c>
      <c r="Z121" s="177">
        <v>10</v>
      </c>
      <c r="AA121" s="177">
        <v>11.22</v>
      </c>
      <c r="AB121" s="178">
        <v>0.46180555555555558</v>
      </c>
      <c r="AC121" s="177">
        <v>24</v>
      </c>
      <c r="AM121" s="218" t="s">
        <v>987</v>
      </c>
      <c r="AN121" s="177" t="s">
        <v>988</v>
      </c>
      <c r="AO121" s="177" t="s">
        <v>989</v>
      </c>
      <c r="AQ121" s="281">
        <v>68</v>
      </c>
      <c r="AR121" s="219">
        <v>1291.9999999999998</v>
      </c>
      <c r="AS121" s="220">
        <v>24.846153846153843</v>
      </c>
      <c r="AT121" s="221">
        <v>0.36538461538461536</v>
      </c>
      <c r="AU121" s="222">
        <v>1.6296923076923078</v>
      </c>
      <c r="AV121" s="189">
        <v>12</v>
      </c>
      <c r="AW121" s="223">
        <f t="shared" si="57"/>
        <v>0</v>
      </c>
      <c r="AX121" s="177">
        <v>5.7</v>
      </c>
      <c r="AY121" s="177">
        <v>14</v>
      </c>
      <c r="AZ121" s="177">
        <v>10</v>
      </c>
      <c r="BA121" s="177">
        <v>11.22</v>
      </c>
      <c r="BG121" s="182">
        <f t="shared" si="26"/>
        <v>32.842105263157897</v>
      </c>
      <c r="BH121" s="224">
        <f t="shared" si="27"/>
        <v>2.9230769230769229</v>
      </c>
      <c r="BI121" s="182">
        <f t="shared" si="28"/>
        <v>12</v>
      </c>
      <c r="BJ121" s="182">
        <f t="shared" si="29"/>
        <v>12</v>
      </c>
      <c r="BL121" s="182"/>
      <c r="BM121" s="182"/>
      <c r="BN121" s="182"/>
      <c r="BP121" s="225">
        <f t="shared" si="30"/>
        <v>12</v>
      </c>
      <c r="BQ121" s="182">
        <f t="shared" si="31"/>
        <v>32.842105263157897</v>
      </c>
      <c r="BR121" s="173" t="s">
        <v>367</v>
      </c>
      <c r="BS121" s="226">
        <f>AV121*AU121*AQ121</f>
        <v>1329.8289230769233</v>
      </c>
      <c r="BT121" s="227"/>
      <c r="BU121" s="227"/>
      <c r="BV121" s="227"/>
      <c r="BW121" s="227" t="s">
        <v>335</v>
      </c>
      <c r="BX121" s="189" t="s">
        <v>1014</v>
      </c>
      <c r="BY121" s="189"/>
      <c r="CA121" s="177" t="s">
        <v>428</v>
      </c>
      <c r="CB121" s="187" t="e">
        <v>#N/A</v>
      </c>
      <c r="CC121" s="186" t="e">
        <v>#N/A</v>
      </c>
      <c r="CD121" s="186" t="e">
        <v>#N/A</v>
      </c>
      <c r="CE121" s="173" t="e">
        <v>#N/A</v>
      </c>
    </row>
    <row r="122" spans="1:89" ht="15" hidden="1" customHeight="1">
      <c r="B122" s="173" t="s">
        <v>564</v>
      </c>
      <c r="C122" s="175">
        <v>33</v>
      </c>
      <c r="D122" s="173" t="s">
        <v>251</v>
      </c>
      <c r="E122" s="177" t="s">
        <v>250</v>
      </c>
      <c r="F122" s="213" t="s">
        <v>1252</v>
      </c>
      <c r="G122" s="213" t="s">
        <v>1253</v>
      </c>
      <c r="H122" s="213"/>
      <c r="I122" s="213" t="s">
        <v>1390</v>
      </c>
      <c r="J122" s="213" t="s">
        <v>983</v>
      </c>
      <c r="K122" s="214" t="s">
        <v>247</v>
      </c>
      <c r="L122" s="213" t="s">
        <v>1391</v>
      </c>
      <c r="M122" s="213" t="s">
        <v>1392</v>
      </c>
      <c r="N122" s="213"/>
      <c r="O122" s="213"/>
      <c r="P122" s="177">
        <v>5.5</v>
      </c>
      <c r="Q122" s="177">
        <v>3.5</v>
      </c>
      <c r="R122" s="177">
        <v>1</v>
      </c>
      <c r="S122" s="215" t="s">
        <v>822</v>
      </c>
      <c r="T122" s="177">
        <v>0.3</v>
      </c>
      <c r="U122" s="178">
        <v>1.1140046296296295E-2</v>
      </c>
      <c r="V122" s="173" t="s">
        <v>572</v>
      </c>
      <c r="W122" s="217">
        <v>12</v>
      </c>
      <c r="X122" s="177">
        <v>4.0999999999999996</v>
      </c>
      <c r="Y122" s="177">
        <v>4.8</v>
      </c>
      <c r="Z122" s="177">
        <v>7.7</v>
      </c>
      <c r="AA122" s="177">
        <v>2.4</v>
      </c>
      <c r="AB122" s="178">
        <v>8.7694444444444422E-2</v>
      </c>
      <c r="AC122" s="177">
        <v>48</v>
      </c>
      <c r="AM122" s="218" t="s">
        <v>987</v>
      </c>
      <c r="AN122" s="177" t="s">
        <v>988</v>
      </c>
      <c r="AO122" s="177" t="s">
        <v>989</v>
      </c>
      <c r="AQ122" s="281">
        <v>68</v>
      </c>
      <c r="AR122" s="219">
        <v>408</v>
      </c>
      <c r="AS122" s="220">
        <v>7.8461538461538458</v>
      </c>
      <c r="AT122" s="221">
        <v>0.11538461538461538</v>
      </c>
      <c r="AU122" s="222">
        <v>0.69230769230769229</v>
      </c>
      <c r="AV122" s="189">
        <v>12</v>
      </c>
      <c r="AW122" s="223">
        <f t="shared" si="57"/>
        <v>0</v>
      </c>
      <c r="AX122" s="177">
        <v>4.0999999999999996</v>
      </c>
      <c r="AY122" s="228">
        <v>4.8</v>
      </c>
      <c r="AZ122" s="177">
        <v>7.7</v>
      </c>
      <c r="BA122" s="177">
        <v>2.4</v>
      </c>
      <c r="BG122" s="182">
        <f t="shared" si="26"/>
        <v>104</v>
      </c>
      <c r="BH122" s="224">
        <f t="shared" si="27"/>
        <v>0.92307692307692302</v>
      </c>
      <c r="BI122" s="182">
        <f t="shared" si="28"/>
        <v>12</v>
      </c>
      <c r="BJ122" s="182">
        <f t="shared" si="29"/>
        <v>12</v>
      </c>
      <c r="BL122" s="182"/>
      <c r="BM122" s="182"/>
      <c r="BN122" s="182"/>
      <c r="BP122" s="225">
        <f t="shared" si="30"/>
        <v>12</v>
      </c>
      <c r="BQ122" s="182">
        <f t="shared" si="31"/>
        <v>104</v>
      </c>
      <c r="BR122" s="173" t="s">
        <v>248</v>
      </c>
      <c r="BS122" s="226">
        <f>AV122*AU122*AQ122</f>
        <v>564.92307692307691</v>
      </c>
      <c r="BT122" s="227"/>
      <c r="BU122" s="227"/>
      <c r="BV122" s="227"/>
      <c r="BW122" s="227" t="s">
        <v>335</v>
      </c>
      <c r="BX122" s="230" t="s">
        <v>1091</v>
      </c>
      <c r="BY122" s="231" t="s">
        <v>1393</v>
      </c>
      <c r="CA122" s="177" t="s">
        <v>250</v>
      </c>
      <c r="CB122" s="187" t="e">
        <v>#N/A</v>
      </c>
      <c r="CC122" s="186" t="e">
        <v>#N/A</v>
      </c>
      <c r="CD122" s="186" t="e">
        <v>#N/A</v>
      </c>
      <c r="CE122" s="173" t="e">
        <v>#N/A</v>
      </c>
    </row>
    <row r="123" spans="1:89" ht="15" hidden="1" customHeight="1">
      <c r="A123" s="177" t="s">
        <v>82</v>
      </c>
      <c r="B123" s="173" t="s">
        <v>564</v>
      </c>
      <c r="C123" s="175">
        <v>46</v>
      </c>
      <c r="D123" s="173" t="s">
        <v>644</v>
      </c>
      <c r="E123" s="177" t="s">
        <v>422</v>
      </c>
      <c r="F123" s="213" t="s">
        <v>1045</v>
      </c>
      <c r="G123" s="213" t="s">
        <v>1046</v>
      </c>
      <c r="H123" s="213"/>
      <c r="I123" s="213" t="s">
        <v>1051</v>
      </c>
      <c r="J123" s="213" t="s">
        <v>1048</v>
      </c>
      <c r="K123" s="214" t="s">
        <v>401</v>
      </c>
      <c r="L123" s="213" t="s">
        <v>1394</v>
      </c>
      <c r="M123" s="213" t="s">
        <v>1395</v>
      </c>
      <c r="N123" s="213"/>
      <c r="O123" s="213"/>
      <c r="P123" s="177">
        <v>8.5</v>
      </c>
      <c r="Q123" s="177">
        <v>4.5</v>
      </c>
      <c r="R123" s="177">
        <v>1</v>
      </c>
      <c r="S123" s="215">
        <v>730007000399</v>
      </c>
      <c r="T123" s="177">
        <v>1.1000000000000001</v>
      </c>
      <c r="U123" s="178">
        <v>2.2135416666666668E-2</v>
      </c>
      <c r="V123" s="173" t="s">
        <v>577</v>
      </c>
      <c r="W123" s="217">
        <v>10</v>
      </c>
      <c r="X123" s="177">
        <v>5.7</v>
      </c>
      <c r="Y123" s="177">
        <v>16.149999999999999</v>
      </c>
      <c r="Z123" s="177">
        <v>10.8</v>
      </c>
      <c r="AA123" s="177">
        <v>11</v>
      </c>
      <c r="AB123" s="178">
        <v>0.57534374999999993</v>
      </c>
      <c r="AC123" s="177">
        <v>20</v>
      </c>
      <c r="AM123" s="218" t="s">
        <v>987</v>
      </c>
      <c r="AN123" s="177" t="s">
        <v>988</v>
      </c>
      <c r="AO123" s="177" t="s">
        <v>989</v>
      </c>
      <c r="AQ123" s="281">
        <v>68</v>
      </c>
      <c r="AR123" s="219">
        <v>544</v>
      </c>
      <c r="AS123" s="220">
        <v>10.461538461538462</v>
      </c>
      <c r="AT123" s="221">
        <v>0.15384615384615385</v>
      </c>
      <c r="AU123" s="222">
        <v>1.7284615384615383</v>
      </c>
      <c r="AV123" s="189">
        <v>10</v>
      </c>
      <c r="AW123" s="223">
        <f t="shared" si="57"/>
        <v>0</v>
      </c>
      <c r="AX123" s="177">
        <v>5.7</v>
      </c>
      <c r="AY123" s="177">
        <v>16.149999999999999</v>
      </c>
      <c r="AZ123" s="177">
        <v>10.8</v>
      </c>
      <c r="BA123" s="177">
        <v>11</v>
      </c>
      <c r="BG123" s="182">
        <f t="shared" si="26"/>
        <v>65</v>
      </c>
      <c r="BH123" s="224">
        <f t="shared" si="27"/>
        <v>1.2307692307692308</v>
      </c>
      <c r="BI123" s="182">
        <f t="shared" si="28"/>
        <v>10</v>
      </c>
      <c r="BJ123" s="182">
        <f t="shared" si="29"/>
        <v>10</v>
      </c>
      <c r="BL123" s="182"/>
      <c r="BM123" s="182"/>
      <c r="BN123" s="182"/>
      <c r="BP123" s="225">
        <f t="shared" si="30"/>
        <v>10</v>
      </c>
      <c r="BQ123" s="182">
        <f t="shared" si="31"/>
        <v>65</v>
      </c>
      <c r="BR123" s="173" t="s">
        <v>367</v>
      </c>
      <c r="BS123" s="226">
        <f>AV123*AU123*AQ123</f>
        <v>1175.353846153846</v>
      </c>
      <c r="BT123" s="227"/>
      <c r="BU123" s="227"/>
      <c r="BV123" s="227"/>
      <c r="BW123" s="227" t="s">
        <v>335</v>
      </c>
      <c r="BX123" s="189" t="s">
        <v>1014</v>
      </c>
      <c r="BY123" s="189"/>
      <c r="CA123" s="177" t="s">
        <v>422</v>
      </c>
      <c r="CB123" s="187" t="e">
        <v>#N/A</v>
      </c>
      <c r="CC123" s="186" t="e">
        <v>#N/A</v>
      </c>
      <c r="CD123" s="186" t="e">
        <v>#N/A</v>
      </c>
      <c r="CE123" s="173" t="e">
        <v>#N/A</v>
      </c>
    </row>
    <row r="124" spans="1:89" ht="15" hidden="1" customHeight="1">
      <c r="A124" s="177" t="s">
        <v>1073</v>
      </c>
      <c r="B124" s="233" t="s">
        <v>564</v>
      </c>
      <c r="C124" s="234">
        <v>76</v>
      </c>
      <c r="D124" s="233" t="s">
        <v>366</v>
      </c>
      <c r="E124" s="235" t="s">
        <v>365</v>
      </c>
      <c r="F124" s="213" t="s">
        <v>1396</v>
      </c>
      <c r="G124" s="213" t="s">
        <v>1397</v>
      </c>
      <c r="H124" s="213"/>
      <c r="I124" s="213"/>
      <c r="J124" s="213"/>
      <c r="K124" s="214"/>
      <c r="L124" s="213"/>
      <c r="M124" s="213"/>
      <c r="N124" s="213"/>
      <c r="O124" s="213"/>
      <c r="P124" s="235">
        <v>6.5</v>
      </c>
      <c r="Q124" s="235">
        <v>2.875</v>
      </c>
      <c r="R124" s="235">
        <v>2.25</v>
      </c>
      <c r="S124" s="215" t="s">
        <v>851</v>
      </c>
      <c r="T124" s="235">
        <v>1.25</v>
      </c>
      <c r="U124" s="236">
        <v>2.4332682291666668E-2</v>
      </c>
      <c r="V124" s="233" t="s">
        <v>565</v>
      </c>
      <c r="W124" s="235">
        <v>6</v>
      </c>
      <c r="X124" s="235">
        <v>6.7</v>
      </c>
      <c r="Y124" s="235">
        <v>4.5</v>
      </c>
      <c r="Z124" s="235">
        <v>7.25</v>
      </c>
      <c r="AA124" s="235">
        <v>7.5</v>
      </c>
      <c r="AB124" s="236">
        <v>0.12649739583333333</v>
      </c>
      <c r="AC124" s="235">
        <v>12</v>
      </c>
      <c r="AD124" s="235"/>
      <c r="AE124" s="235"/>
      <c r="AF124" s="235"/>
      <c r="AG124" s="235"/>
      <c r="AH124" s="235"/>
      <c r="AI124" s="235"/>
      <c r="AJ124" s="235"/>
      <c r="AK124" s="235"/>
      <c r="AL124" s="235"/>
      <c r="AM124" s="237" t="s">
        <v>987</v>
      </c>
      <c r="AN124" s="235" t="s">
        <v>988</v>
      </c>
      <c r="AO124" s="235" t="s">
        <v>989</v>
      </c>
      <c r="AP124" s="233"/>
      <c r="AQ124" s="282">
        <v>1503</v>
      </c>
      <c r="AR124" s="238">
        <v>9018</v>
      </c>
      <c r="AS124" s="239">
        <v>173.42307692307693</v>
      </c>
      <c r="AT124" s="240">
        <v>0.11538461538461539</v>
      </c>
      <c r="AU124" s="241">
        <v>7.0307692307692307</v>
      </c>
      <c r="AV124" s="233">
        <v>3</v>
      </c>
      <c r="AW124" s="242">
        <f t="shared" si="57"/>
        <v>-3</v>
      </c>
      <c r="AX124" s="235"/>
      <c r="AY124" s="235"/>
      <c r="AZ124" s="235"/>
      <c r="BA124" s="235"/>
      <c r="BB124" s="235"/>
      <c r="BC124" s="235"/>
      <c r="BD124" s="235"/>
      <c r="BE124" s="235"/>
      <c r="BF124" s="235"/>
      <c r="BG124" s="243">
        <f t="shared" si="26"/>
        <v>26</v>
      </c>
      <c r="BH124" s="244">
        <f t="shared" si="27"/>
        <v>0.92307692307692313</v>
      </c>
      <c r="BI124" s="243">
        <f t="shared" si="28"/>
        <v>3</v>
      </c>
      <c r="BJ124" s="243">
        <f t="shared" si="29"/>
        <v>3</v>
      </c>
      <c r="BK124" s="243"/>
      <c r="BL124" s="243"/>
      <c r="BM124" s="243"/>
      <c r="BN124" s="243"/>
      <c r="BO124" s="233"/>
      <c r="BP124" s="245">
        <f t="shared" si="30"/>
        <v>3</v>
      </c>
      <c r="BQ124" s="243">
        <f t="shared" si="31"/>
        <v>26</v>
      </c>
      <c r="BR124" s="233" t="s">
        <v>204</v>
      </c>
      <c r="BS124" s="246"/>
      <c r="BT124" s="247" t="s">
        <v>335</v>
      </c>
      <c r="BU124" s="247"/>
      <c r="BV124" s="247"/>
      <c r="BW124" s="247" t="s">
        <v>335</v>
      </c>
      <c r="BX124" s="233" t="s">
        <v>1385</v>
      </c>
      <c r="BY124" s="233"/>
      <c r="CA124" s="235" t="s">
        <v>365</v>
      </c>
      <c r="CB124" s="187" t="e">
        <v>#N/A</v>
      </c>
      <c r="CC124" s="186" t="e">
        <v>#N/A</v>
      </c>
      <c r="CD124" s="186" t="e">
        <v>#N/A</v>
      </c>
      <c r="CE124" s="173" t="e">
        <v>#N/A</v>
      </c>
    </row>
    <row r="125" spans="1:89" ht="15" customHeight="1">
      <c r="A125" s="177" t="s">
        <v>82</v>
      </c>
      <c r="B125" s="173" t="s">
        <v>564</v>
      </c>
      <c r="C125" s="175">
        <v>100</v>
      </c>
      <c r="D125" s="251" t="s">
        <v>645</v>
      </c>
      <c r="E125" s="177" t="s">
        <v>195</v>
      </c>
      <c r="F125" s="213">
        <v>0</v>
      </c>
      <c r="G125" s="213">
        <v>0</v>
      </c>
      <c r="H125" s="213" t="s">
        <v>73</v>
      </c>
      <c r="I125" s="213" t="s">
        <v>1398</v>
      </c>
      <c r="J125" s="213" t="s">
        <v>1031</v>
      </c>
      <c r="K125" s="214" t="s">
        <v>88</v>
      </c>
      <c r="L125" s="213"/>
      <c r="M125" s="213"/>
      <c r="N125" s="213" t="s">
        <v>1399</v>
      </c>
      <c r="O125" s="213"/>
      <c r="P125" s="177">
        <v>5.7</v>
      </c>
      <c r="Q125" s="177">
        <v>3.65</v>
      </c>
      <c r="R125" s="177">
        <v>1</v>
      </c>
      <c r="S125" s="215" t="s">
        <v>898</v>
      </c>
      <c r="T125" s="177" t="s">
        <v>327</v>
      </c>
      <c r="U125" s="178" t="s">
        <v>327</v>
      </c>
      <c r="V125" s="173" t="s">
        <v>565</v>
      </c>
      <c r="W125" s="217">
        <v>6</v>
      </c>
      <c r="X125" s="177">
        <v>6.75</v>
      </c>
      <c r="Y125" s="177">
        <v>6</v>
      </c>
      <c r="Z125" s="177">
        <v>4.0999999999999996</v>
      </c>
      <c r="AA125" s="177">
        <v>1</v>
      </c>
      <c r="AB125" s="178">
        <v>9.6093749999999992E-2</v>
      </c>
      <c r="AC125" s="177">
        <v>24</v>
      </c>
      <c r="AD125" s="177">
        <v>7.25</v>
      </c>
      <c r="AE125" s="177">
        <v>13</v>
      </c>
      <c r="AF125" s="177">
        <v>9.1999999999999993</v>
      </c>
      <c r="AG125" s="177">
        <v>6</v>
      </c>
      <c r="AM125" s="218" t="s">
        <v>987</v>
      </c>
      <c r="AN125" s="177" t="s">
        <v>988</v>
      </c>
      <c r="AO125" s="177" t="s">
        <v>989</v>
      </c>
      <c r="AQ125" s="281">
        <v>1599</v>
      </c>
      <c r="AR125" s="219">
        <v>12792</v>
      </c>
      <c r="AS125" s="220">
        <v>246</v>
      </c>
      <c r="AT125" s="221">
        <v>0.15384615384615385</v>
      </c>
      <c r="AU125" s="222">
        <v>2.1169230769230767</v>
      </c>
      <c r="AV125" s="189">
        <v>6</v>
      </c>
      <c r="AW125" s="223">
        <f t="shared" si="57"/>
        <v>0</v>
      </c>
      <c r="AX125" s="228">
        <v>6.75</v>
      </c>
      <c r="AY125" s="177">
        <v>6</v>
      </c>
      <c r="AZ125" s="177">
        <v>4.0999999999999996</v>
      </c>
      <c r="BA125" s="177">
        <v>1</v>
      </c>
      <c r="BG125" s="182">
        <f t="shared" si="26"/>
        <v>39</v>
      </c>
      <c r="BH125" s="224">
        <f t="shared" si="27"/>
        <v>1.2307692307692308</v>
      </c>
      <c r="BI125" s="182">
        <f t="shared" si="28"/>
        <v>6</v>
      </c>
      <c r="BJ125" s="182">
        <f t="shared" si="29"/>
        <v>6</v>
      </c>
      <c r="BL125" s="182"/>
      <c r="BM125" s="182"/>
      <c r="BN125" s="182"/>
      <c r="BP125" s="225">
        <f t="shared" si="30"/>
        <v>6</v>
      </c>
      <c r="BQ125" s="182">
        <f t="shared" si="31"/>
        <v>39</v>
      </c>
      <c r="BR125" s="173" t="s">
        <v>204</v>
      </c>
      <c r="BS125" s="226">
        <f t="shared" ref="BS125:BS131" si="58">AV125*AU125*AQ125</f>
        <v>20309.759999999998</v>
      </c>
      <c r="BT125" s="227" t="s">
        <v>335</v>
      </c>
      <c r="BU125" s="227"/>
      <c r="BV125" s="227" t="s">
        <v>335</v>
      </c>
      <c r="BW125" s="227" t="s">
        <v>335</v>
      </c>
      <c r="BX125" s="230" t="s">
        <v>1091</v>
      </c>
      <c r="BY125" s="231" t="s">
        <v>1092</v>
      </c>
      <c r="BZ125" s="173" t="s">
        <v>1400</v>
      </c>
      <c r="CA125" s="177" t="s">
        <v>195</v>
      </c>
      <c r="CB125" s="187">
        <v>11033.1</v>
      </c>
      <c r="CC125" s="186">
        <v>12792</v>
      </c>
      <c r="CD125" s="186">
        <v>6</v>
      </c>
      <c r="CE125" s="173">
        <v>24</v>
      </c>
      <c r="CF125" s="173">
        <f>CE125</f>
        <v>24</v>
      </c>
      <c r="CG125" s="173">
        <f>CE125/CD125</f>
        <v>4</v>
      </c>
      <c r="CK125" s="173">
        <f>CD125-AV125</f>
        <v>0</v>
      </c>
    </row>
    <row r="126" spans="1:89" ht="15" hidden="1" customHeight="1">
      <c r="A126" s="177" t="s">
        <v>82</v>
      </c>
      <c r="B126" s="173" t="s">
        <v>564</v>
      </c>
      <c r="C126" s="175">
        <v>60</v>
      </c>
      <c r="D126" s="251" t="s">
        <v>646</v>
      </c>
      <c r="E126" s="177" t="s">
        <v>259</v>
      </c>
      <c r="F126" s="213" t="s">
        <v>1223</v>
      </c>
      <c r="G126" s="213" t="s">
        <v>1224</v>
      </c>
      <c r="H126" s="213"/>
      <c r="I126" s="213" t="s">
        <v>1401</v>
      </c>
      <c r="J126" s="213" t="s">
        <v>1019</v>
      </c>
      <c r="K126" s="214" t="s">
        <v>257</v>
      </c>
      <c r="L126" s="213" t="s">
        <v>1402</v>
      </c>
      <c r="M126" s="213" t="s">
        <v>1403</v>
      </c>
      <c r="N126" s="213"/>
      <c r="O126" s="213"/>
      <c r="P126" s="177">
        <v>7</v>
      </c>
      <c r="Q126" s="177">
        <v>4.75</v>
      </c>
      <c r="R126" s="177">
        <v>2.5</v>
      </c>
      <c r="S126" s="215" t="s">
        <v>825</v>
      </c>
      <c r="T126" s="177">
        <v>1.4</v>
      </c>
      <c r="U126" s="178">
        <v>4.8104745370370371E-2</v>
      </c>
      <c r="V126" s="173" t="s">
        <v>565</v>
      </c>
      <c r="W126" s="217">
        <v>6</v>
      </c>
      <c r="X126" s="177">
        <v>11.5</v>
      </c>
      <c r="Y126" s="177">
        <v>6.5</v>
      </c>
      <c r="Z126" s="177">
        <v>5</v>
      </c>
      <c r="AA126" s="177">
        <v>5.99</v>
      </c>
      <c r="AB126" s="178">
        <v>0.21629050925925927</v>
      </c>
      <c r="AC126" s="177">
        <v>36</v>
      </c>
      <c r="AM126" s="218" t="s">
        <v>987</v>
      </c>
      <c r="AN126" s="177" t="s">
        <v>988</v>
      </c>
      <c r="AO126" s="177" t="s">
        <v>989</v>
      </c>
      <c r="AQ126" s="281">
        <v>184</v>
      </c>
      <c r="AR126" s="219">
        <v>920</v>
      </c>
      <c r="AS126" s="220">
        <v>17.692307692307693</v>
      </c>
      <c r="AT126" s="221">
        <v>9.6153846153846159E-2</v>
      </c>
      <c r="AU126" s="222">
        <v>5.2307692307692308</v>
      </c>
      <c r="AV126" s="189">
        <v>6</v>
      </c>
      <c r="AW126" s="223">
        <f t="shared" si="57"/>
        <v>0</v>
      </c>
      <c r="AX126" s="177">
        <v>11.5</v>
      </c>
      <c r="AY126" s="177">
        <v>6.5</v>
      </c>
      <c r="AZ126" s="177">
        <v>5</v>
      </c>
      <c r="BA126" s="177">
        <v>5.99</v>
      </c>
      <c r="BG126" s="182">
        <f t="shared" si="26"/>
        <v>62.4</v>
      </c>
      <c r="BH126" s="224">
        <f t="shared" si="27"/>
        <v>0.76923076923076927</v>
      </c>
      <c r="BI126" s="182">
        <f t="shared" si="28"/>
        <v>6</v>
      </c>
      <c r="BJ126" s="182">
        <f t="shared" si="29"/>
        <v>6</v>
      </c>
      <c r="BL126" s="182"/>
      <c r="BM126" s="182"/>
      <c r="BN126" s="182"/>
      <c r="BP126" s="225">
        <f t="shared" si="30"/>
        <v>6</v>
      </c>
      <c r="BQ126" s="182">
        <f t="shared" si="31"/>
        <v>62.4</v>
      </c>
      <c r="BR126" s="173" t="s">
        <v>240</v>
      </c>
      <c r="BS126" s="226">
        <f t="shared" si="58"/>
        <v>5774.7692307692314</v>
      </c>
      <c r="BT126" s="227"/>
      <c r="BU126" s="227" t="s">
        <v>335</v>
      </c>
      <c r="BV126" s="227"/>
      <c r="BW126" s="227" t="s">
        <v>335</v>
      </c>
      <c r="BX126" s="189" t="s">
        <v>1014</v>
      </c>
      <c r="BY126" s="189"/>
      <c r="BZ126" s="173" t="s">
        <v>1400</v>
      </c>
      <c r="CA126" s="177" t="s">
        <v>259</v>
      </c>
      <c r="CB126" s="187" t="e">
        <v>#N/A</v>
      </c>
      <c r="CC126" s="186" t="e">
        <v>#N/A</v>
      </c>
      <c r="CD126" s="186" t="e">
        <v>#N/A</v>
      </c>
      <c r="CE126" s="173" t="e">
        <v>#N/A</v>
      </c>
    </row>
    <row r="127" spans="1:89" ht="15" hidden="1" customHeight="1">
      <c r="A127" s="177" t="s">
        <v>82</v>
      </c>
      <c r="B127" s="173" t="s">
        <v>564</v>
      </c>
      <c r="C127" s="175">
        <v>16</v>
      </c>
      <c r="D127" s="173" t="s">
        <v>297</v>
      </c>
      <c r="E127" s="177" t="s">
        <v>296</v>
      </c>
      <c r="F127" s="213" t="s">
        <v>1198</v>
      </c>
      <c r="G127" s="213" t="s">
        <v>1199</v>
      </c>
      <c r="H127" s="213"/>
      <c r="I127" s="213" t="s">
        <v>1404</v>
      </c>
      <c r="J127" s="213" t="s">
        <v>1037</v>
      </c>
      <c r="K127" s="214" t="s">
        <v>294</v>
      </c>
      <c r="L127" s="213" t="s">
        <v>1405</v>
      </c>
      <c r="M127" s="213" t="s">
        <v>1406</v>
      </c>
      <c r="N127" s="213"/>
      <c r="O127" s="213"/>
      <c r="P127" s="177">
        <v>7.5</v>
      </c>
      <c r="Q127" s="177">
        <v>2</v>
      </c>
      <c r="R127" s="177">
        <v>5</v>
      </c>
      <c r="S127" s="215" t="s">
        <v>837</v>
      </c>
      <c r="T127" s="177">
        <v>1</v>
      </c>
      <c r="U127" s="178">
        <v>4.3402777777777776E-2</v>
      </c>
      <c r="V127" s="173" t="s">
        <v>572</v>
      </c>
      <c r="W127" s="217">
        <v>6</v>
      </c>
      <c r="X127" s="177">
        <v>6</v>
      </c>
      <c r="Y127" s="177">
        <v>6</v>
      </c>
      <c r="Z127" s="177">
        <v>10</v>
      </c>
      <c r="AA127" s="177">
        <v>4.25</v>
      </c>
      <c r="AB127" s="178">
        <v>0.20833333333333334</v>
      </c>
      <c r="AC127" s="177">
        <v>12</v>
      </c>
      <c r="AM127" s="218" t="s">
        <v>987</v>
      </c>
      <c r="AN127" s="177" t="s">
        <v>988</v>
      </c>
      <c r="AO127" s="177" t="s">
        <v>989</v>
      </c>
      <c r="AQ127" s="281">
        <v>68</v>
      </c>
      <c r="AR127" s="219">
        <v>340.00000000000006</v>
      </c>
      <c r="AS127" s="220">
        <v>6.5384615384615392</v>
      </c>
      <c r="AT127" s="221">
        <v>9.6153846153846159E-2</v>
      </c>
      <c r="AU127" s="222">
        <v>4.476923076923077</v>
      </c>
      <c r="AV127" s="189">
        <v>6</v>
      </c>
      <c r="AW127" s="223">
        <f t="shared" si="57"/>
        <v>0</v>
      </c>
      <c r="AX127" s="177">
        <v>6</v>
      </c>
      <c r="AY127" s="177">
        <v>6</v>
      </c>
      <c r="AZ127" s="177">
        <v>10</v>
      </c>
      <c r="BA127" s="177">
        <v>4.25</v>
      </c>
      <c r="BG127" s="182">
        <f t="shared" si="26"/>
        <v>62.4</v>
      </c>
      <c r="BH127" s="224">
        <f t="shared" si="27"/>
        <v>0.76923076923076927</v>
      </c>
      <c r="BI127" s="182">
        <f t="shared" si="28"/>
        <v>6</v>
      </c>
      <c r="BJ127" s="182">
        <f t="shared" si="29"/>
        <v>6</v>
      </c>
      <c r="BL127" s="182"/>
      <c r="BM127" s="182"/>
      <c r="BN127" s="182"/>
      <c r="BP127" s="225">
        <f t="shared" si="30"/>
        <v>6</v>
      </c>
      <c r="BQ127" s="182">
        <f t="shared" si="31"/>
        <v>62.4</v>
      </c>
      <c r="BR127" s="173" t="s">
        <v>217</v>
      </c>
      <c r="BS127" s="226">
        <f t="shared" si="58"/>
        <v>1826.5846153846155</v>
      </c>
      <c r="BT127" s="227"/>
      <c r="BU127" s="227"/>
      <c r="BV127" s="227"/>
      <c r="BW127" s="227" t="s">
        <v>335</v>
      </c>
      <c r="BX127" s="189" t="s">
        <v>1014</v>
      </c>
      <c r="BY127" s="189"/>
      <c r="CA127" s="177" t="s">
        <v>296</v>
      </c>
      <c r="CB127" s="187" t="e">
        <v>#N/A</v>
      </c>
      <c r="CC127" s="186" t="e">
        <v>#N/A</v>
      </c>
      <c r="CD127" s="186" t="e">
        <v>#N/A</v>
      </c>
      <c r="CE127" s="173" t="e">
        <v>#N/A</v>
      </c>
    </row>
    <row r="128" spans="1:89" ht="15" customHeight="1">
      <c r="A128" s="177" t="s">
        <v>82</v>
      </c>
      <c r="B128" s="173" t="s">
        <v>564</v>
      </c>
      <c r="C128" s="175">
        <v>41</v>
      </c>
      <c r="D128" s="173" t="s">
        <v>357</v>
      </c>
      <c r="E128" s="177" t="s">
        <v>137</v>
      </c>
      <c r="F128" s="213" t="s">
        <v>1016</v>
      </c>
      <c r="G128" s="213" t="s">
        <v>1017</v>
      </c>
      <c r="H128" s="213" t="s">
        <v>73</v>
      </c>
      <c r="I128" s="213" t="s">
        <v>1407</v>
      </c>
      <c r="J128" s="213" t="s">
        <v>1031</v>
      </c>
      <c r="K128" s="214" t="s">
        <v>358</v>
      </c>
      <c r="L128" s="213" t="s">
        <v>1408</v>
      </c>
      <c r="M128" s="213" t="s">
        <v>1409</v>
      </c>
      <c r="N128" s="213"/>
      <c r="O128" s="213"/>
      <c r="P128" s="177">
        <v>13.75</v>
      </c>
      <c r="Q128" s="177">
        <v>3.625</v>
      </c>
      <c r="R128" s="177">
        <v>1.5</v>
      </c>
      <c r="S128" s="215">
        <v>730007000214</v>
      </c>
      <c r="T128" s="177">
        <v>0.4</v>
      </c>
      <c r="U128" s="178">
        <v>4.3267144097222224E-2</v>
      </c>
      <c r="V128" s="173" t="s">
        <v>565</v>
      </c>
      <c r="W128" s="217">
        <v>6</v>
      </c>
      <c r="X128" s="177">
        <v>4.4000000000000004</v>
      </c>
      <c r="Y128" s="177">
        <v>14.4</v>
      </c>
      <c r="Z128" s="177">
        <v>7.2</v>
      </c>
      <c r="AA128" s="177">
        <v>2.4</v>
      </c>
      <c r="AB128" s="178">
        <v>0.26400000000000001</v>
      </c>
      <c r="AC128" s="177">
        <v>24</v>
      </c>
      <c r="AD128" s="177">
        <v>9.8000000000000007</v>
      </c>
      <c r="AE128" s="177">
        <v>14.9</v>
      </c>
      <c r="AF128" s="177">
        <v>15.4</v>
      </c>
      <c r="AG128" s="177">
        <v>11.6</v>
      </c>
      <c r="AM128" s="218" t="s">
        <v>987</v>
      </c>
      <c r="AN128" s="177" t="s">
        <v>988</v>
      </c>
      <c r="AO128" s="177" t="s">
        <v>989</v>
      </c>
      <c r="AQ128" s="281">
        <v>68</v>
      </c>
      <c r="AR128" s="219">
        <v>340.00000000000006</v>
      </c>
      <c r="AS128" s="220">
        <v>6.5384615384615392</v>
      </c>
      <c r="AT128" s="221">
        <v>9.6153846153846159E-2</v>
      </c>
      <c r="AU128" s="222">
        <v>2.1230769230769226</v>
      </c>
      <c r="AV128" s="189">
        <v>6</v>
      </c>
      <c r="AW128" s="223">
        <f t="shared" si="57"/>
        <v>0</v>
      </c>
      <c r="AX128" s="177">
        <v>4.4000000000000004</v>
      </c>
      <c r="AY128" s="177">
        <v>14.4</v>
      </c>
      <c r="AZ128" s="177">
        <v>7.2</v>
      </c>
      <c r="BA128" s="177">
        <v>2.4</v>
      </c>
      <c r="BG128" s="182">
        <f t="shared" si="26"/>
        <v>62.4</v>
      </c>
      <c r="BH128" s="224">
        <f t="shared" si="27"/>
        <v>0.76923076923076927</v>
      </c>
      <c r="BI128" s="182">
        <f t="shared" si="28"/>
        <v>6</v>
      </c>
      <c r="BJ128" s="182">
        <f t="shared" si="29"/>
        <v>6</v>
      </c>
      <c r="BL128" s="182"/>
      <c r="BM128" s="182"/>
      <c r="BN128" s="182"/>
      <c r="BP128" s="225">
        <f t="shared" si="30"/>
        <v>6</v>
      </c>
      <c r="BQ128" s="182">
        <f t="shared" si="31"/>
        <v>62.4</v>
      </c>
      <c r="BR128" s="173" t="s">
        <v>204</v>
      </c>
      <c r="BS128" s="226">
        <f t="shared" si="58"/>
        <v>866.21538461538444</v>
      </c>
      <c r="BT128" s="227"/>
      <c r="BU128" s="227"/>
      <c r="BV128" s="227"/>
      <c r="BW128" s="227" t="s">
        <v>335</v>
      </c>
      <c r="BX128" s="189" t="s">
        <v>1014</v>
      </c>
      <c r="BY128" s="189"/>
      <c r="CA128" s="177" t="s">
        <v>137</v>
      </c>
      <c r="CB128" s="187">
        <v>469.2</v>
      </c>
      <c r="CC128" s="186">
        <v>340.00000000000006</v>
      </c>
      <c r="CD128" s="186">
        <v>6</v>
      </c>
      <c r="CE128" s="173">
        <v>24</v>
      </c>
      <c r="CF128" s="173">
        <f t="shared" ref="CF128:CF130" si="59">CE128</f>
        <v>24</v>
      </c>
      <c r="CG128" s="173">
        <f t="shared" ref="CG128:CG130" si="60">CE128/CD128</f>
        <v>4</v>
      </c>
      <c r="CK128" s="173">
        <f t="shared" ref="CK128:CK130" si="61">CD128-AV128</f>
        <v>0</v>
      </c>
    </row>
    <row r="129" spans="1:89" ht="15" customHeight="1">
      <c r="A129" s="177" t="s">
        <v>82</v>
      </c>
      <c r="B129" s="173" t="s">
        <v>564</v>
      </c>
      <c r="C129" s="175">
        <v>18</v>
      </c>
      <c r="D129" s="173" t="s">
        <v>206</v>
      </c>
      <c r="E129" s="177" t="s">
        <v>69</v>
      </c>
      <c r="F129" s="213" t="s">
        <v>1410</v>
      </c>
      <c r="G129" s="213" t="s">
        <v>1411</v>
      </c>
      <c r="H129" s="213"/>
      <c r="I129" s="213" t="s">
        <v>1412</v>
      </c>
      <c r="J129" s="213" t="s">
        <v>1247</v>
      </c>
      <c r="K129" s="214" t="s">
        <v>88</v>
      </c>
      <c r="L129" s="213" t="s">
        <v>1413</v>
      </c>
      <c r="M129" s="213"/>
      <c r="N129" s="213"/>
      <c r="O129" s="213"/>
      <c r="P129" s="177">
        <v>5.7</v>
      </c>
      <c r="Q129" s="177">
        <v>3.65</v>
      </c>
      <c r="R129" s="177">
        <v>1.25</v>
      </c>
      <c r="S129" s="215" t="s">
        <v>811</v>
      </c>
      <c r="T129" s="177">
        <v>0.2</v>
      </c>
      <c r="U129" s="178">
        <v>1.5049913194444445E-2</v>
      </c>
      <c r="V129" s="173" t="s">
        <v>565</v>
      </c>
      <c r="W129" s="217">
        <v>6</v>
      </c>
      <c r="X129" s="177">
        <v>6.75</v>
      </c>
      <c r="Y129" s="177">
        <v>6</v>
      </c>
      <c r="Z129" s="177">
        <v>4.0999999999999996</v>
      </c>
      <c r="AA129" s="177">
        <v>1</v>
      </c>
      <c r="AB129" s="178">
        <v>9.6093749999999992E-2</v>
      </c>
      <c r="AC129" s="177">
        <v>24</v>
      </c>
      <c r="AD129" s="177">
        <v>7.25</v>
      </c>
      <c r="AE129" s="177">
        <v>13</v>
      </c>
      <c r="AF129" s="177">
        <v>9.1999999999999993</v>
      </c>
      <c r="AG129" s="177">
        <v>6</v>
      </c>
      <c r="AM129" s="218" t="s">
        <v>987</v>
      </c>
      <c r="AN129" s="177" t="s">
        <v>988</v>
      </c>
      <c r="AO129" s="177" t="s">
        <v>989</v>
      </c>
      <c r="AQ129" s="281">
        <v>68</v>
      </c>
      <c r="AR129" s="219">
        <v>340.00000000000006</v>
      </c>
      <c r="AS129" s="220">
        <v>6.5384615384615392</v>
      </c>
      <c r="AT129" s="221">
        <v>9.6153846153846159E-2</v>
      </c>
      <c r="AU129" s="222">
        <v>1.7455384615384613</v>
      </c>
      <c r="AV129" s="189">
        <v>6</v>
      </c>
      <c r="AW129" s="223">
        <f t="shared" si="57"/>
        <v>0</v>
      </c>
      <c r="AX129" s="228">
        <v>6.75</v>
      </c>
      <c r="AY129" s="177">
        <v>6</v>
      </c>
      <c r="AZ129" s="177">
        <v>4.0999999999999996</v>
      </c>
      <c r="BA129" s="177">
        <v>1</v>
      </c>
      <c r="BG129" s="182">
        <f t="shared" si="26"/>
        <v>62.4</v>
      </c>
      <c r="BH129" s="224">
        <f t="shared" si="27"/>
        <v>0.76923076923076927</v>
      </c>
      <c r="BI129" s="182">
        <f t="shared" si="28"/>
        <v>6</v>
      </c>
      <c r="BJ129" s="182">
        <f t="shared" si="29"/>
        <v>6</v>
      </c>
      <c r="BL129" s="182"/>
      <c r="BM129" s="182"/>
      <c r="BN129" s="182"/>
      <c r="BP129" s="225">
        <f t="shared" si="30"/>
        <v>6</v>
      </c>
      <c r="BQ129" s="182">
        <f t="shared" si="31"/>
        <v>62.4</v>
      </c>
      <c r="BR129" s="173" t="s">
        <v>204</v>
      </c>
      <c r="BS129" s="226">
        <f t="shared" si="58"/>
        <v>712.17969230769222</v>
      </c>
      <c r="BT129" s="227"/>
      <c r="BU129" s="227"/>
      <c r="BV129" s="227"/>
      <c r="BW129" s="227" t="s">
        <v>335</v>
      </c>
      <c r="BX129" s="230" t="s">
        <v>1414</v>
      </c>
      <c r="BY129" s="231" t="s">
        <v>1415</v>
      </c>
      <c r="CA129" s="177" t="s">
        <v>69</v>
      </c>
      <c r="CB129" s="187">
        <v>469.2</v>
      </c>
      <c r="CC129" s="186">
        <v>340.00000000000006</v>
      </c>
      <c r="CD129" s="186">
        <v>6</v>
      </c>
      <c r="CE129" s="173">
        <v>24</v>
      </c>
      <c r="CF129" s="173">
        <f t="shared" si="59"/>
        <v>24</v>
      </c>
      <c r="CG129" s="173">
        <f t="shared" si="60"/>
        <v>4</v>
      </c>
      <c r="CK129" s="173">
        <f t="shared" si="61"/>
        <v>0</v>
      </c>
    </row>
    <row r="130" spans="1:89" ht="15" customHeight="1">
      <c r="A130" s="177" t="s">
        <v>82</v>
      </c>
      <c r="B130" s="173" t="s">
        <v>564</v>
      </c>
      <c r="C130" s="175">
        <v>47</v>
      </c>
      <c r="D130" s="173" t="s">
        <v>371</v>
      </c>
      <c r="E130" s="177" t="s">
        <v>141</v>
      </c>
      <c r="F130" s="213" t="s">
        <v>1193</v>
      </c>
      <c r="G130" s="213" t="s">
        <v>1194</v>
      </c>
      <c r="H130" s="213" t="s">
        <v>122</v>
      </c>
      <c r="I130" s="213" t="s">
        <v>1416</v>
      </c>
      <c r="J130" s="213" t="s">
        <v>1031</v>
      </c>
      <c r="K130" s="214" t="s">
        <v>88</v>
      </c>
      <c r="L130" s="213" t="s">
        <v>1417</v>
      </c>
      <c r="M130" s="213" t="s">
        <v>1418</v>
      </c>
      <c r="N130" s="213"/>
      <c r="O130" s="213"/>
      <c r="P130" s="177">
        <v>5.7</v>
      </c>
      <c r="Q130" s="177">
        <v>3.65</v>
      </c>
      <c r="R130" s="177">
        <v>3.75</v>
      </c>
      <c r="S130" s="215">
        <v>730007000429</v>
      </c>
      <c r="T130" s="177">
        <v>0.15</v>
      </c>
      <c r="U130" s="178">
        <v>4.5149739583333334E-2</v>
      </c>
      <c r="V130" s="173" t="s">
        <v>565</v>
      </c>
      <c r="W130" s="217">
        <v>6</v>
      </c>
      <c r="X130" s="177">
        <v>10.5</v>
      </c>
      <c r="Y130" s="177">
        <v>4</v>
      </c>
      <c r="Z130" s="177">
        <v>6</v>
      </c>
      <c r="AA130" s="177">
        <v>1.04</v>
      </c>
      <c r="AB130" s="178">
        <v>0.14583333333333334</v>
      </c>
      <c r="AC130" s="177">
        <v>24</v>
      </c>
      <c r="AD130" s="177">
        <v>11</v>
      </c>
      <c r="AE130" s="177">
        <v>9</v>
      </c>
      <c r="AF130" s="177">
        <v>13</v>
      </c>
      <c r="AG130" s="177">
        <v>6.16</v>
      </c>
      <c r="AM130" s="218" t="s">
        <v>987</v>
      </c>
      <c r="AN130" s="177" t="s">
        <v>988</v>
      </c>
      <c r="AO130" s="177" t="s">
        <v>989</v>
      </c>
      <c r="AQ130" s="281">
        <v>68</v>
      </c>
      <c r="AR130" s="219">
        <v>408</v>
      </c>
      <c r="AS130" s="220">
        <v>7.8461538461538458</v>
      </c>
      <c r="AT130" s="221">
        <v>0.11538461538461538</v>
      </c>
      <c r="AU130" s="222">
        <v>1.0495384615384615</v>
      </c>
      <c r="AV130" s="189">
        <v>6</v>
      </c>
      <c r="AW130" s="223">
        <f t="shared" si="57"/>
        <v>0</v>
      </c>
      <c r="AX130" s="177">
        <v>10.5</v>
      </c>
      <c r="AY130" s="177">
        <v>4</v>
      </c>
      <c r="AZ130" s="177">
        <v>6</v>
      </c>
      <c r="BA130" s="177">
        <v>1.04</v>
      </c>
      <c r="BG130" s="182">
        <f t="shared" si="26"/>
        <v>52</v>
      </c>
      <c r="BH130" s="224">
        <f t="shared" si="27"/>
        <v>0.92307692307692302</v>
      </c>
      <c r="BI130" s="182">
        <f t="shared" si="28"/>
        <v>6</v>
      </c>
      <c r="BJ130" s="182">
        <f t="shared" si="29"/>
        <v>6</v>
      </c>
      <c r="BL130" s="182"/>
      <c r="BM130" s="182"/>
      <c r="BN130" s="182"/>
      <c r="BP130" s="225">
        <f t="shared" si="30"/>
        <v>6</v>
      </c>
      <c r="BQ130" s="182">
        <f t="shared" si="31"/>
        <v>52</v>
      </c>
      <c r="BR130" s="173" t="s">
        <v>204</v>
      </c>
      <c r="BS130" s="226">
        <f t="shared" si="58"/>
        <v>428.21169230769226</v>
      </c>
      <c r="BT130" s="227"/>
      <c r="BU130" s="227"/>
      <c r="BV130" s="227"/>
      <c r="BW130" s="227" t="s">
        <v>335</v>
      </c>
      <c r="BX130" s="189" t="s">
        <v>1014</v>
      </c>
      <c r="BY130" s="189"/>
      <c r="CA130" s="177" t="s">
        <v>141</v>
      </c>
      <c r="CB130" s="187">
        <v>469.2</v>
      </c>
      <c r="CC130" s="186">
        <v>408</v>
      </c>
      <c r="CD130" s="186">
        <v>6</v>
      </c>
      <c r="CE130" s="173">
        <v>24</v>
      </c>
      <c r="CF130" s="173">
        <f t="shared" si="59"/>
        <v>24</v>
      </c>
      <c r="CG130" s="173">
        <f t="shared" si="60"/>
        <v>4</v>
      </c>
      <c r="CK130" s="173">
        <f t="shared" si="61"/>
        <v>0</v>
      </c>
    </row>
    <row r="131" spans="1:89" ht="15" hidden="1" customHeight="1">
      <c r="A131" s="177" t="s">
        <v>82</v>
      </c>
      <c r="B131" s="173" t="s">
        <v>564</v>
      </c>
      <c r="C131" s="175">
        <v>14</v>
      </c>
      <c r="D131" s="173" t="s">
        <v>246</v>
      </c>
      <c r="E131" s="177" t="s">
        <v>245</v>
      </c>
      <c r="F131" s="213" t="s">
        <v>1252</v>
      </c>
      <c r="G131" s="213" t="s">
        <v>1253</v>
      </c>
      <c r="H131" s="213"/>
      <c r="I131" s="213" t="s">
        <v>1249</v>
      </c>
      <c r="J131" s="213" t="s">
        <v>983</v>
      </c>
      <c r="K131" s="214" t="s">
        <v>247</v>
      </c>
      <c r="L131" s="213" t="s">
        <v>1419</v>
      </c>
      <c r="M131" s="213" t="s">
        <v>1420</v>
      </c>
      <c r="N131" s="213"/>
      <c r="O131" s="213"/>
      <c r="P131" s="177">
        <v>5</v>
      </c>
      <c r="Q131" s="177">
        <v>3.5</v>
      </c>
      <c r="R131" s="177">
        <v>1</v>
      </c>
      <c r="S131" s="215" t="s">
        <v>821</v>
      </c>
      <c r="T131" s="177">
        <v>0.3</v>
      </c>
      <c r="U131" s="178">
        <v>1.0127314814814815E-2</v>
      </c>
      <c r="V131" s="173" t="s">
        <v>572</v>
      </c>
      <c r="W131" s="217">
        <v>12</v>
      </c>
      <c r="X131" s="177">
        <v>4</v>
      </c>
      <c r="Y131" s="177">
        <v>4.7</v>
      </c>
      <c r="Z131" s="177">
        <v>7.8</v>
      </c>
      <c r="AA131" s="177">
        <v>2.4</v>
      </c>
      <c r="AB131" s="178">
        <v>8.4861111111111123E-2</v>
      </c>
      <c r="AC131" s="177">
        <v>48</v>
      </c>
      <c r="AM131" s="218" t="s">
        <v>987</v>
      </c>
      <c r="AN131" s="177" t="s">
        <v>988</v>
      </c>
      <c r="AO131" s="177" t="s">
        <v>989</v>
      </c>
      <c r="AQ131" s="281">
        <v>68</v>
      </c>
      <c r="AR131" s="219">
        <v>476</v>
      </c>
      <c r="AS131" s="220">
        <v>9.1538461538461533</v>
      </c>
      <c r="AT131" s="221">
        <v>0.13461538461538461</v>
      </c>
      <c r="AU131" s="222">
        <v>0.8</v>
      </c>
      <c r="AV131" s="189">
        <v>12</v>
      </c>
      <c r="AW131" s="223">
        <f t="shared" si="57"/>
        <v>0</v>
      </c>
      <c r="AX131" s="177">
        <v>4</v>
      </c>
      <c r="AY131" s="228">
        <v>4.7</v>
      </c>
      <c r="AZ131" s="177">
        <v>7.8</v>
      </c>
      <c r="BA131" s="177">
        <v>2.4</v>
      </c>
      <c r="BG131" s="182">
        <f t="shared" si="26"/>
        <v>89.142857142857153</v>
      </c>
      <c r="BH131" s="224">
        <f t="shared" si="27"/>
        <v>1.0769230769230769</v>
      </c>
      <c r="BI131" s="182">
        <f t="shared" si="28"/>
        <v>12</v>
      </c>
      <c r="BJ131" s="182">
        <f t="shared" si="29"/>
        <v>12</v>
      </c>
      <c r="BL131" s="182"/>
      <c r="BM131" s="182"/>
      <c r="BN131" s="182"/>
      <c r="BP131" s="225">
        <f t="shared" si="30"/>
        <v>12</v>
      </c>
      <c r="BQ131" s="182">
        <f t="shared" si="31"/>
        <v>89.142857142857153</v>
      </c>
      <c r="BR131" s="173" t="s">
        <v>248</v>
      </c>
      <c r="BS131" s="226">
        <f t="shared" si="58"/>
        <v>652.80000000000007</v>
      </c>
      <c r="BT131" s="227"/>
      <c r="BU131" s="227"/>
      <c r="BV131" s="227"/>
      <c r="BW131" s="227" t="s">
        <v>335</v>
      </c>
      <c r="BX131" s="230" t="s">
        <v>1414</v>
      </c>
      <c r="BY131" s="231" t="s">
        <v>1421</v>
      </c>
      <c r="CA131" s="177" t="s">
        <v>245</v>
      </c>
      <c r="CB131" s="187" t="e">
        <v>#N/A</v>
      </c>
      <c r="CC131" s="186" t="e">
        <v>#N/A</v>
      </c>
      <c r="CD131" s="186" t="e">
        <v>#N/A</v>
      </c>
      <c r="CE131" s="173" t="e">
        <v>#N/A</v>
      </c>
    </row>
    <row r="132" spans="1:89" ht="15" hidden="1" customHeight="1">
      <c r="A132" s="177" t="s">
        <v>1073</v>
      </c>
      <c r="B132" s="233" t="s">
        <v>564</v>
      </c>
      <c r="C132" s="234">
        <v>32</v>
      </c>
      <c r="D132" s="233" t="s">
        <v>233</v>
      </c>
      <c r="E132" s="235" t="s">
        <v>232</v>
      </c>
      <c r="F132" s="213" t="s">
        <v>1422</v>
      </c>
      <c r="G132" s="213" t="s">
        <v>1423</v>
      </c>
      <c r="H132" s="213"/>
      <c r="I132" s="213"/>
      <c r="J132" s="213"/>
      <c r="K132" s="214"/>
      <c r="L132" s="213"/>
      <c r="M132" s="213"/>
      <c r="N132" s="213"/>
      <c r="O132" s="213"/>
      <c r="P132" s="235">
        <v>6.5</v>
      </c>
      <c r="Q132" s="235">
        <v>3.65</v>
      </c>
      <c r="R132" s="235">
        <v>2.5</v>
      </c>
      <c r="S132" s="215" t="s">
        <v>818</v>
      </c>
      <c r="T132" s="235">
        <v>0.1</v>
      </c>
      <c r="U132" s="236">
        <v>3.4324363425925923E-2</v>
      </c>
      <c r="V132" s="233" t="s">
        <v>565</v>
      </c>
      <c r="W132" s="235">
        <v>6</v>
      </c>
      <c r="X132" s="235">
        <v>4.5999999999999996</v>
      </c>
      <c r="Y132" s="235">
        <v>8.1999999999999993</v>
      </c>
      <c r="Z132" s="235">
        <v>4.4000000000000004</v>
      </c>
      <c r="AA132" s="235">
        <v>0.8</v>
      </c>
      <c r="AB132" s="236">
        <v>9.6046296296296296E-2</v>
      </c>
      <c r="AC132" s="235">
        <v>36</v>
      </c>
      <c r="AD132" s="235"/>
      <c r="AE132" s="235"/>
      <c r="AF132" s="235"/>
      <c r="AG132" s="235"/>
      <c r="AH132" s="235"/>
      <c r="AI132" s="235"/>
      <c r="AJ132" s="235"/>
      <c r="AK132" s="235"/>
      <c r="AL132" s="235"/>
      <c r="AM132" s="237" t="s">
        <v>987</v>
      </c>
      <c r="AN132" s="235" t="s">
        <v>988</v>
      </c>
      <c r="AO132" s="235" t="s">
        <v>989</v>
      </c>
      <c r="AP132" s="233"/>
      <c r="AQ132" s="282">
        <v>68</v>
      </c>
      <c r="AR132" s="238">
        <v>680.00000000000011</v>
      </c>
      <c r="AS132" s="239">
        <v>13.076923076923078</v>
      </c>
      <c r="AT132" s="240">
        <v>0.19230769230769232</v>
      </c>
      <c r="AU132" s="241">
        <v>0.58799999999999997</v>
      </c>
      <c r="AV132" s="233">
        <v>3</v>
      </c>
      <c r="AW132" s="242">
        <f t="shared" si="57"/>
        <v>-3</v>
      </c>
      <c r="AX132" s="235"/>
      <c r="AY132" s="235"/>
      <c r="AZ132" s="235"/>
      <c r="BA132" s="235"/>
      <c r="BB132" s="235"/>
      <c r="BC132" s="235"/>
      <c r="BD132" s="235"/>
      <c r="BE132" s="235"/>
      <c r="BF132" s="235"/>
      <c r="BG132" s="243">
        <f t="shared" ref="BG132:BG146" si="62">IFERROR(AV132/AT132,"")</f>
        <v>15.6</v>
      </c>
      <c r="BH132" s="244">
        <f t="shared" ref="BH132:BH146" si="63">IFERROR(IF(AM132="WEX",0,IF(OR(AN132="1XD"),10*AT132,8*AT132)),"")</f>
        <v>1.5384615384615385</v>
      </c>
      <c r="BI132" s="243">
        <f t="shared" ref="BI132:BI146" si="64">IF(AM132="WEX",0,IF(AV132&lt;=2,2,AV132))</f>
        <v>3</v>
      </c>
      <c r="BJ132" s="243">
        <f t="shared" ref="BJ132:BJ146" si="65">IFERROR(MAX(BH132,BI132),"")</f>
        <v>3</v>
      </c>
      <c r="BK132" s="243"/>
      <c r="BL132" s="243"/>
      <c r="BM132" s="243"/>
      <c r="BN132" s="243"/>
      <c r="BO132" s="233"/>
      <c r="BP132" s="245">
        <f t="shared" ref="BP132:BP146" si="66">IFERROR(IF(ISNA(BK132),BJ132,IF(BK132&gt;=0,BK132+BJ132,BJ132+IF(SUM(BL132:BN132)&gt;0,(MAX(BL132,BM132,BN132)-1),0)+BO132)),"")</f>
        <v>3</v>
      </c>
      <c r="BQ132" s="243">
        <f t="shared" ref="BQ132:BQ146" si="67">IFERROR(BP132/AT132,"")</f>
        <v>15.6</v>
      </c>
      <c r="BR132" s="233" t="s">
        <v>217</v>
      </c>
      <c r="BS132" s="246"/>
      <c r="BT132" s="247"/>
      <c r="BU132" s="247"/>
      <c r="BV132" s="247"/>
      <c r="BW132" s="247" t="s">
        <v>335</v>
      </c>
      <c r="BX132" s="233" t="s">
        <v>1385</v>
      </c>
      <c r="BY132" s="233"/>
      <c r="CA132" s="235" t="s">
        <v>232</v>
      </c>
      <c r="CB132" s="187" t="e">
        <v>#N/A</v>
      </c>
      <c r="CC132" s="186" t="e">
        <v>#N/A</v>
      </c>
      <c r="CD132" s="186" t="e">
        <v>#N/A</v>
      </c>
      <c r="CE132" s="173" t="e">
        <v>#N/A</v>
      </c>
    </row>
    <row r="133" spans="1:89" ht="15" hidden="1" customHeight="1">
      <c r="A133" s="177" t="s">
        <v>1073</v>
      </c>
      <c r="B133" s="233" t="s">
        <v>564</v>
      </c>
      <c r="C133" s="234">
        <v>37</v>
      </c>
      <c r="D133" s="233" t="s">
        <v>236</v>
      </c>
      <c r="E133" s="235" t="s">
        <v>235</v>
      </c>
      <c r="F133" s="213" t="s">
        <v>1422</v>
      </c>
      <c r="G133" s="213" t="s">
        <v>1423</v>
      </c>
      <c r="H133" s="213"/>
      <c r="I133" s="213"/>
      <c r="J133" s="213"/>
      <c r="K133" s="214"/>
      <c r="L133" s="213"/>
      <c r="M133" s="213"/>
      <c r="N133" s="213"/>
      <c r="O133" s="213"/>
      <c r="P133" s="235">
        <v>6.5</v>
      </c>
      <c r="Q133" s="235">
        <v>3.65</v>
      </c>
      <c r="R133" s="235">
        <v>2.5</v>
      </c>
      <c r="S133" s="215">
        <v>730007000122</v>
      </c>
      <c r="T133" s="235">
        <v>0.1</v>
      </c>
      <c r="U133" s="236">
        <v>3.4324363425925923E-2</v>
      </c>
      <c r="V133" s="233" t="s">
        <v>565</v>
      </c>
      <c r="W133" s="235">
        <v>6</v>
      </c>
      <c r="X133" s="235">
        <v>4.5999999999999996</v>
      </c>
      <c r="Y133" s="235">
        <v>8.1999999999999993</v>
      </c>
      <c r="Z133" s="235">
        <v>4.4000000000000004</v>
      </c>
      <c r="AA133" s="235">
        <v>0.6</v>
      </c>
      <c r="AB133" s="236">
        <v>9.6046296296296296E-2</v>
      </c>
      <c r="AC133" s="235">
        <v>36</v>
      </c>
      <c r="AD133" s="235"/>
      <c r="AE133" s="235"/>
      <c r="AF133" s="235"/>
      <c r="AG133" s="235"/>
      <c r="AH133" s="235"/>
      <c r="AI133" s="235"/>
      <c r="AJ133" s="235"/>
      <c r="AK133" s="235"/>
      <c r="AL133" s="235"/>
      <c r="AM133" s="237" t="s">
        <v>987</v>
      </c>
      <c r="AN133" s="235" t="s">
        <v>988</v>
      </c>
      <c r="AO133" s="235" t="s">
        <v>989</v>
      </c>
      <c r="AP133" s="233"/>
      <c r="AQ133" s="282">
        <v>68</v>
      </c>
      <c r="AR133" s="238">
        <v>680.00000000000011</v>
      </c>
      <c r="AS133" s="239">
        <v>13.076923076923078</v>
      </c>
      <c r="AT133" s="240">
        <v>0.19230769230769232</v>
      </c>
      <c r="AU133" s="241">
        <v>0.58876923076923082</v>
      </c>
      <c r="AV133" s="233">
        <v>3</v>
      </c>
      <c r="AW133" s="242">
        <f t="shared" si="57"/>
        <v>-3</v>
      </c>
      <c r="AX133" s="235"/>
      <c r="AY133" s="235"/>
      <c r="AZ133" s="235"/>
      <c r="BA133" s="235"/>
      <c r="BB133" s="235"/>
      <c r="BC133" s="235"/>
      <c r="BD133" s="235"/>
      <c r="BE133" s="235"/>
      <c r="BF133" s="235"/>
      <c r="BG133" s="243">
        <f t="shared" si="62"/>
        <v>15.6</v>
      </c>
      <c r="BH133" s="244">
        <f t="shared" si="63"/>
        <v>1.5384615384615385</v>
      </c>
      <c r="BI133" s="243">
        <f t="shared" si="64"/>
        <v>3</v>
      </c>
      <c r="BJ133" s="243">
        <f t="shared" si="65"/>
        <v>3</v>
      </c>
      <c r="BK133" s="243"/>
      <c r="BL133" s="243"/>
      <c r="BM133" s="243"/>
      <c r="BN133" s="243"/>
      <c r="BO133" s="233"/>
      <c r="BP133" s="245">
        <f t="shared" si="66"/>
        <v>3</v>
      </c>
      <c r="BQ133" s="243">
        <f t="shared" si="67"/>
        <v>15.6</v>
      </c>
      <c r="BR133" s="233" t="s">
        <v>217</v>
      </c>
      <c r="BS133" s="246"/>
      <c r="BT133" s="247"/>
      <c r="BU133" s="247"/>
      <c r="BV133" s="247"/>
      <c r="BW133" s="247" t="s">
        <v>335</v>
      </c>
      <c r="BX133" s="233" t="s">
        <v>1385</v>
      </c>
      <c r="BY133" s="233"/>
      <c r="CA133" s="235" t="s">
        <v>235</v>
      </c>
      <c r="CB133" s="187" t="e">
        <v>#N/A</v>
      </c>
      <c r="CC133" s="186" t="e">
        <v>#N/A</v>
      </c>
      <c r="CD133" s="186" t="e">
        <v>#N/A</v>
      </c>
      <c r="CE133" s="173" t="e">
        <v>#N/A</v>
      </c>
    </row>
    <row r="134" spans="1:89" ht="15" hidden="1" customHeight="1">
      <c r="A134" s="177" t="s">
        <v>1073</v>
      </c>
      <c r="B134" s="233" t="s">
        <v>564</v>
      </c>
      <c r="C134" s="234">
        <v>30</v>
      </c>
      <c r="D134" s="233" t="s">
        <v>227</v>
      </c>
      <c r="E134" s="235" t="s">
        <v>226</v>
      </c>
      <c r="F134" s="213" t="s">
        <v>1422</v>
      </c>
      <c r="G134" s="213" t="s">
        <v>1423</v>
      </c>
      <c r="H134" s="213"/>
      <c r="I134" s="213"/>
      <c r="J134" s="213"/>
      <c r="K134" s="214"/>
      <c r="L134" s="213"/>
      <c r="M134" s="213"/>
      <c r="N134" s="213"/>
      <c r="O134" s="213"/>
      <c r="P134" s="235">
        <v>6.5</v>
      </c>
      <c r="Q134" s="235">
        <v>3.65</v>
      </c>
      <c r="R134" s="235">
        <v>2.5</v>
      </c>
      <c r="S134" s="215" t="s">
        <v>816</v>
      </c>
      <c r="T134" s="235">
        <v>0.1</v>
      </c>
      <c r="U134" s="236">
        <v>3.4324363425925923E-2</v>
      </c>
      <c r="V134" s="233" t="s">
        <v>565</v>
      </c>
      <c r="W134" s="235">
        <v>6</v>
      </c>
      <c r="X134" s="235">
        <v>4.5</v>
      </c>
      <c r="Y134" s="235">
        <v>8.1999999999999993</v>
      </c>
      <c r="Z134" s="235">
        <v>4.4000000000000004</v>
      </c>
      <c r="AA134" s="235">
        <v>0.8</v>
      </c>
      <c r="AB134" s="236">
        <v>9.3958333333333338E-2</v>
      </c>
      <c r="AC134" s="235">
        <v>36</v>
      </c>
      <c r="AD134" s="235"/>
      <c r="AE134" s="235"/>
      <c r="AF134" s="235"/>
      <c r="AG134" s="235"/>
      <c r="AH134" s="235"/>
      <c r="AI134" s="235"/>
      <c r="AJ134" s="235"/>
      <c r="AK134" s="235"/>
      <c r="AL134" s="235"/>
      <c r="AM134" s="237" t="s">
        <v>987</v>
      </c>
      <c r="AN134" s="235" t="s">
        <v>988</v>
      </c>
      <c r="AO134" s="235" t="s">
        <v>989</v>
      </c>
      <c r="AP134" s="233"/>
      <c r="AQ134" s="282">
        <v>68</v>
      </c>
      <c r="AR134" s="238">
        <v>544</v>
      </c>
      <c r="AS134" s="239">
        <v>10.461538461538462</v>
      </c>
      <c r="AT134" s="240">
        <v>0.15384615384615385</v>
      </c>
      <c r="AU134" s="241">
        <v>0.60415384615384626</v>
      </c>
      <c r="AV134" s="233">
        <v>3</v>
      </c>
      <c r="AW134" s="242">
        <f t="shared" si="57"/>
        <v>-3</v>
      </c>
      <c r="AX134" s="235"/>
      <c r="AY134" s="235"/>
      <c r="AZ134" s="235"/>
      <c r="BA134" s="235"/>
      <c r="BB134" s="235"/>
      <c r="BC134" s="235"/>
      <c r="BD134" s="235"/>
      <c r="BE134" s="235"/>
      <c r="BF134" s="235"/>
      <c r="BG134" s="243">
        <f t="shared" si="62"/>
        <v>19.5</v>
      </c>
      <c r="BH134" s="244">
        <f t="shared" si="63"/>
        <v>1.2307692307692308</v>
      </c>
      <c r="BI134" s="243">
        <f t="shared" si="64"/>
        <v>3</v>
      </c>
      <c r="BJ134" s="243">
        <f t="shared" si="65"/>
        <v>3</v>
      </c>
      <c r="BK134" s="243"/>
      <c r="BL134" s="243"/>
      <c r="BM134" s="243"/>
      <c r="BN134" s="243"/>
      <c r="BO134" s="233"/>
      <c r="BP134" s="245">
        <f t="shared" si="66"/>
        <v>3</v>
      </c>
      <c r="BQ134" s="243">
        <f t="shared" si="67"/>
        <v>19.5</v>
      </c>
      <c r="BR134" s="233" t="s">
        <v>217</v>
      </c>
      <c r="BS134" s="246"/>
      <c r="BT134" s="247"/>
      <c r="BU134" s="247"/>
      <c r="BV134" s="247"/>
      <c r="BW134" s="247" t="s">
        <v>335</v>
      </c>
      <c r="BX134" s="233" t="s">
        <v>1385</v>
      </c>
      <c r="BY134" s="233"/>
      <c r="CA134" s="235" t="s">
        <v>226</v>
      </c>
      <c r="CB134" s="187" t="e">
        <v>#N/A</v>
      </c>
      <c r="CC134" s="186" t="e">
        <v>#N/A</v>
      </c>
      <c r="CD134" s="186" t="e">
        <v>#N/A</v>
      </c>
      <c r="CE134" s="173" t="e">
        <v>#N/A</v>
      </c>
    </row>
    <row r="135" spans="1:89" ht="15" hidden="1" customHeight="1">
      <c r="A135" s="177" t="s">
        <v>1073</v>
      </c>
      <c r="B135" s="233" t="s">
        <v>564</v>
      </c>
      <c r="C135" s="234">
        <v>31</v>
      </c>
      <c r="D135" s="233" t="s">
        <v>230</v>
      </c>
      <c r="E135" s="235" t="s">
        <v>229</v>
      </c>
      <c r="F135" s="213" t="s">
        <v>1422</v>
      </c>
      <c r="G135" s="213" t="s">
        <v>1423</v>
      </c>
      <c r="H135" s="213"/>
      <c r="I135" s="213"/>
      <c r="J135" s="213"/>
      <c r="K135" s="214"/>
      <c r="L135" s="213"/>
      <c r="M135" s="213"/>
      <c r="N135" s="213"/>
      <c r="O135" s="213"/>
      <c r="P135" s="235">
        <v>6.5</v>
      </c>
      <c r="Q135" s="235">
        <v>3.65</v>
      </c>
      <c r="R135" s="235">
        <v>2.5</v>
      </c>
      <c r="S135" s="215" t="s">
        <v>817</v>
      </c>
      <c r="T135" s="235">
        <v>0.1</v>
      </c>
      <c r="U135" s="236">
        <v>3.4324363425925923E-2</v>
      </c>
      <c r="V135" s="233" t="s">
        <v>565</v>
      </c>
      <c r="W135" s="235">
        <v>6</v>
      </c>
      <c r="X135" s="235">
        <v>4.5999999999999996</v>
      </c>
      <c r="Y135" s="235">
        <v>8.1999999999999993</v>
      </c>
      <c r="Z135" s="235">
        <v>4.4000000000000004</v>
      </c>
      <c r="AA135" s="235">
        <v>0.8</v>
      </c>
      <c r="AB135" s="236">
        <v>9.6046296296296296E-2</v>
      </c>
      <c r="AC135" s="235">
        <v>36</v>
      </c>
      <c r="AD135" s="235"/>
      <c r="AE135" s="235"/>
      <c r="AF135" s="235"/>
      <c r="AG135" s="235"/>
      <c r="AH135" s="235"/>
      <c r="AI135" s="235"/>
      <c r="AJ135" s="235"/>
      <c r="AK135" s="235"/>
      <c r="AL135" s="235"/>
      <c r="AM135" s="237" t="s">
        <v>987</v>
      </c>
      <c r="AN135" s="235" t="s">
        <v>988</v>
      </c>
      <c r="AO135" s="235" t="s">
        <v>989</v>
      </c>
      <c r="AP135" s="233"/>
      <c r="AQ135" s="282">
        <v>68</v>
      </c>
      <c r="AR135" s="238">
        <v>476</v>
      </c>
      <c r="AS135" s="239">
        <v>9.1538461538461533</v>
      </c>
      <c r="AT135" s="240">
        <v>0.13461538461538461</v>
      </c>
      <c r="AU135" s="241">
        <v>0.60399999999999998</v>
      </c>
      <c r="AV135" s="233">
        <v>3</v>
      </c>
      <c r="AW135" s="242">
        <f t="shared" si="57"/>
        <v>-3</v>
      </c>
      <c r="AX135" s="235"/>
      <c r="AY135" s="235"/>
      <c r="AZ135" s="235"/>
      <c r="BA135" s="235"/>
      <c r="BB135" s="235"/>
      <c r="BC135" s="235"/>
      <c r="BD135" s="235"/>
      <c r="BE135" s="235"/>
      <c r="BF135" s="235"/>
      <c r="BG135" s="243">
        <f t="shared" si="62"/>
        <v>22.285714285714288</v>
      </c>
      <c r="BH135" s="244">
        <f t="shared" si="63"/>
        <v>1.0769230769230769</v>
      </c>
      <c r="BI135" s="243">
        <f t="shared" si="64"/>
        <v>3</v>
      </c>
      <c r="BJ135" s="243">
        <f t="shared" si="65"/>
        <v>3</v>
      </c>
      <c r="BK135" s="243"/>
      <c r="BL135" s="243"/>
      <c r="BM135" s="243"/>
      <c r="BN135" s="243"/>
      <c r="BO135" s="233"/>
      <c r="BP135" s="245">
        <f t="shared" si="66"/>
        <v>3</v>
      </c>
      <c r="BQ135" s="243">
        <f t="shared" si="67"/>
        <v>22.285714285714288</v>
      </c>
      <c r="BR135" s="233" t="s">
        <v>217</v>
      </c>
      <c r="BS135" s="246"/>
      <c r="BT135" s="247"/>
      <c r="BU135" s="247"/>
      <c r="BV135" s="247"/>
      <c r="BW135" s="247" t="s">
        <v>335</v>
      </c>
      <c r="BX135" s="233" t="s">
        <v>1385</v>
      </c>
      <c r="BY135" s="233"/>
      <c r="CA135" s="235" t="s">
        <v>229</v>
      </c>
      <c r="CB135" s="187" t="e">
        <v>#N/A</v>
      </c>
      <c r="CC135" s="186" t="e">
        <v>#N/A</v>
      </c>
      <c r="CD135" s="186" t="e">
        <v>#N/A</v>
      </c>
      <c r="CE135" s="173" t="e">
        <v>#N/A</v>
      </c>
    </row>
    <row r="136" spans="1:89" ht="15" hidden="1" customHeight="1">
      <c r="A136" s="177" t="s">
        <v>82</v>
      </c>
      <c r="B136" s="173" t="s">
        <v>564</v>
      </c>
      <c r="C136" s="175">
        <v>13</v>
      </c>
      <c r="D136" s="173" t="s">
        <v>519</v>
      </c>
      <c r="E136" s="177" t="s">
        <v>518</v>
      </c>
      <c r="F136" s="213"/>
      <c r="G136" s="213" t="s">
        <v>1010</v>
      </c>
      <c r="H136" s="213"/>
      <c r="I136" s="213" t="s">
        <v>1011</v>
      </c>
      <c r="J136" s="213" t="s">
        <v>1012</v>
      </c>
      <c r="K136" s="214" t="s">
        <v>376</v>
      </c>
      <c r="L136" s="213"/>
      <c r="M136" s="213"/>
      <c r="N136" s="213"/>
      <c r="O136" s="213"/>
      <c r="P136" s="177">
        <v>8.5</v>
      </c>
      <c r="Q136" s="177">
        <v>8.5</v>
      </c>
      <c r="R136" s="177">
        <v>4.25</v>
      </c>
      <c r="S136" s="215" t="s">
        <v>895</v>
      </c>
      <c r="T136" s="177">
        <v>3</v>
      </c>
      <c r="U136" s="178">
        <v>0.17769820601851852</v>
      </c>
      <c r="V136" s="216" t="s">
        <v>565</v>
      </c>
      <c r="W136" s="217">
        <v>3</v>
      </c>
      <c r="X136" s="177">
        <v>8.1</v>
      </c>
      <c r="Y136" s="177">
        <v>8.1</v>
      </c>
      <c r="Z136" s="177">
        <v>9.1</v>
      </c>
      <c r="AA136" s="177">
        <v>9.5</v>
      </c>
      <c r="AB136" s="178">
        <v>0.34551562499999994</v>
      </c>
      <c r="AC136" s="177">
        <v>12</v>
      </c>
      <c r="AM136" s="218" t="s">
        <v>987</v>
      </c>
      <c r="AN136" s="177" t="s">
        <v>988</v>
      </c>
      <c r="AO136" s="177" t="s">
        <v>989</v>
      </c>
      <c r="AQ136" s="281">
        <v>68</v>
      </c>
      <c r="AR136" s="219">
        <v>340.00000000000006</v>
      </c>
      <c r="AS136" s="220">
        <v>6.5384615384615392</v>
      </c>
      <c r="AT136" s="221">
        <v>9.6153846153846159E-2</v>
      </c>
      <c r="AU136" s="222">
        <v>15.23076923076923</v>
      </c>
      <c r="AV136" s="189">
        <v>3</v>
      </c>
      <c r="AW136" s="223">
        <f t="shared" si="57"/>
        <v>0</v>
      </c>
      <c r="AX136" s="177">
        <v>8.1</v>
      </c>
      <c r="AY136" s="177">
        <v>8.1</v>
      </c>
      <c r="AZ136" s="177">
        <v>9.1</v>
      </c>
      <c r="BA136" s="177">
        <v>9.5</v>
      </c>
      <c r="BG136" s="182">
        <f t="shared" si="62"/>
        <v>31.2</v>
      </c>
      <c r="BH136" s="224">
        <f t="shared" si="63"/>
        <v>0.76923076923076927</v>
      </c>
      <c r="BI136" s="182">
        <f t="shared" si="64"/>
        <v>3</v>
      </c>
      <c r="BJ136" s="182">
        <f t="shared" si="65"/>
        <v>3</v>
      </c>
      <c r="BL136" s="182"/>
      <c r="BM136" s="182"/>
      <c r="BN136" s="182"/>
      <c r="BP136" s="225">
        <f t="shared" si="66"/>
        <v>3</v>
      </c>
      <c r="BQ136" s="182">
        <f t="shared" si="67"/>
        <v>31.2</v>
      </c>
      <c r="BR136" s="173" t="s">
        <v>240</v>
      </c>
      <c r="BS136" s="226">
        <f t="shared" ref="BS136:BS145" si="68">AV136*AU136*AQ136</f>
        <v>3107.0769230769233</v>
      </c>
      <c r="BT136" s="227"/>
      <c r="BU136" s="227"/>
      <c r="BV136" s="227"/>
      <c r="BW136" s="227" t="s">
        <v>335</v>
      </c>
      <c r="BX136" s="189" t="s">
        <v>1014</v>
      </c>
      <c r="BY136" s="189"/>
      <c r="CA136" s="177" t="s">
        <v>518</v>
      </c>
      <c r="CB136" s="187" t="e">
        <v>#N/A</v>
      </c>
      <c r="CC136" s="186" t="e">
        <v>#N/A</v>
      </c>
      <c r="CD136" s="186" t="e">
        <v>#N/A</v>
      </c>
      <c r="CE136" s="173" t="e">
        <v>#N/A</v>
      </c>
    </row>
    <row r="137" spans="1:89" ht="15" hidden="1" customHeight="1">
      <c r="A137" s="177" t="s">
        <v>82</v>
      </c>
      <c r="B137" s="173" t="s">
        <v>564</v>
      </c>
      <c r="C137" s="175">
        <v>15</v>
      </c>
      <c r="D137" s="173" t="s">
        <v>293</v>
      </c>
      <c r="E137" s="177" t="s">
        <v>292</v>
      </c>
      <c r="F137" s="213" t="s">
        <v>1198</v>
      </c>
      <c r="G137" s="213" t="s">
        <v>1199</v>
      </c>
      <c r="H137" s="213"/>
      <c r="I137" s="213" t="s">
        <v>1148</v>
      </c>
      <c r="J137" s="213" t="s">
        <v>1037</v>
      </c>
      <c r="K137" s="214" t="s">
        <v>294</v>
      </c>
      <c r="L137" s="213" t="s">
        <v>1424</v>
      </c>
      <c r="M137" s="213" t="s">
        <v>1425</v>
      </c>
      <c r="N137" s="213"/>
      <c r="O137" s="213"/>
      <c r="P137" s="177">
        <v>8</v>
      </c>
      <c r="Q137" s="177">
        <v>2.25</v>
      </c>
      <c r="R137" s="177">
        <v>5</v>
      </c>
      <c r="S137" s="215" t="s">
        <v>836</v>
      </c>
      <c r="T137" s="177">
        <v>0.8</v>
      </c>
      <c r="U137" s="178">
        <v>5.2083333333333336E-2</v>
      </c>
      <c r="V137" s="173" t="s">
        <v>572</v>
      </c>
      <c r="W137" s="217">
        <v>6</v>
      </c>
      <c r="X137" s="177">
        <v>6</v>
      </c>
      <c r="Y137" s="177">
        <v>6.75</v>
      </c>
      <c r="Z137" s="177">
        <v>10</v>
      </c>
      <c r="AA137" s="177">
        <v>4.0999999999999996</v>
      </c>
      <c r="AB137" s="178">
        <v>0.234375</v>
      </c>
      <c r="AC137" s="177">
        <v>12</v>
      </c>
      <c r="AM137" s="218" t="s">
        <v>987</v>
      </c>
      <c r="AN137" s="177" t="s">
        <v>988</v>
      </c>
      <c r="AO137" s="177" t="s">
        <v>989</v>
      </c>
      <c r="AQ137" s="281">
        <v>68</v>
      </c>
      <c r="AR137" s="219">
        <v>340.00000000000006</v>
      </c>
      <c r="AS137" s="220">
        <v>6.5384615384615392</v>
      </c>
      <c r="AT137" s="221">
        <v>9.6153846153846159E-2</v>
      </c>
      <c r="AU137" s="222">
        <v>2.2153846153846151</v>
      </c>
      <c r="AV137" s="189">
        <v>3</v>
      </c>
      <c r="AW137" s="223">
        <f t="shared" si="57"/>
        <v>-3</v>
      </c>
      <c r="AX137" s="177">
        <v>6</v>
      </c>
      <c r="AY137" s="228">
        <v>6.75</v>
      </c>
      <c r="AZ137" s="177">
        <f>10/2</f>
        <v>5</v>
      </c>
      <c r="BA137" s="177">
        <f>4.1/2</f>
        <v>2.0499999999999998</v>
      </c>
      <c r="BG137" s="182">
        <f t="shared" si="62"/>
        <v>31.2</v>
      </c>
      <c r="BH137" s="224">
        <f t="shared" si="63"/>
        <v>0.76923076923076927</v>
      </c>
      <c r="BI137" s="182">
        <f t="shared" si="64"/>
        <v>3</v>
      </c>
      <c r="BJ137" s="182">
        <f t="shared" si="65"/>
        <v>3</v>
      </c>
      <c r="BL137" s="182"/>
      <c r="BM137" s="182"/>
      <c r="BN137" s="182"/>
      <c r="BP137" s="225">
        <f t="shared" si="66"/>
        <v>3</v>
      </c>
      <c r="BQ137" s="182">
        <f t="shared" si="67"/>
        <v>31.2</v>
      </c>
      <c r="BR137" s="173" t="s">
        <v>217</v>
      </c>
      <c r="BS137" s="226">
        <f t="shared" si="68"/>
        <v>451.93846153846152</v>
      </c>
      <c r="BT137" s="227"/>
      <c r="BU137" s="227"/>
      <c r="BV137" s="227"/>
      <c r="BW137" s="227" t="s">
        <v>335</v>
      </c>
      <c r="BX137" s="230" t="s">
        <v>1426</v>
      </c>
      <c r="BY137" s="231" t="s">
        <v>1427</v>
      </c>
      <c r="CA137" s="177" t="s">
        <v>292</v>
      </c>
      <c r="CB137" s="187" t="e">
        <v>#N/A</v>
      </c>
      <c r="CC137" s="186" t="e">
        <v>#N/A</v>
      </c>
      <c r="CD137" s="186" t="e">
        <v>#N/A</v>
      </c>
      <c r="CE137" s="173" t="e">
        <v>#N/A</v>
      </c>
    </row>
    <row r="138" spans="1:89" ht="15" hidden="1" customHeight="1">
      <c r="A138" s="177" t="s">
        <v>1073</v>
      </c>
      <c r="B138" s="233" t="s">
        <v>564</v>
      </c>
      <c r="C138" s="234">
        <v>52</v>
      </c>
      <c r="D138" s="233" t="s">
        <v>534</v>
      </c>
      <c r="E138" s="235" t="s">
        <v>533</v>
      </c>
      <c r="F138" s="213" t="e">
        <v>#N/A</v>
      </c>
      <c r="G138" s="213" t="e">
        <v>#N/A</v>
      </c>
      <c r="H138" s="213"/>
      <c r="I138" s="213"/>
      <c r="J138" s="213"/>
      <c r="K138" s="214"/>
      <c r="L138" s="213"/>
      <c r="M138" s="213"/>
      <c r="N138" s="213"/>
      <c r="O138" s="213"/>
      <c r="P138" s="235">
        <v>14.13</v>
      </c>
      <c r="Q138" s="235">
        <v>11.38</v>
      </c>
      <c r="R138" s="235">
        <v>11.13</v>
      </c>
      <c r="S138" s="215">
        <v>730007000641</v>
      </c>
      <c r="T138" s="235">
        <v>9.5</v>
      </c>
      <c r="U138" s="236">
        <v>1.0357044687500003</v>
      </c>
      <c r="V138" s="233" t="s">
        <v>584</v>
      </c>
      <c r="W138" s="235" t="s">
        <v>335</v>
      </c>
      <c r="X138" s="235" t="s">
        <v>335</v>
      </c>
      <c r="Y138" s="235" t="s">
        <v>335</v>
      </c>
      <c r="Z138" s="235" t="s">
        <v>335</v>
      </c>
      <c r="AA138" s="235" t="s">
        <v>335</v>
      </c>
      <c r="AB138" s="236" t="e">
        <v>#VALUE!</v>
      </c>
      <c r="AC138" s="235">
        <v>4</v>
      </c>
      <c r="AD138" s="235"/>
      <c r="AE138" s="235"/>
      <c r="AF138" s="235"/>
      <c r="AG138" s="235"/>
      <c r="AH138" s="235"/>
      <c r="AI138" s="235"/>
      <c r="AJ138" s="235"/>
      <c r="AK138" s="235"/>
      <c r="AL138" s="235"/>
      <c r="AM138" s="237" t="s">
        <v>987</v>
      </c>
      <c r="AN138" s="235" t="s">
        <v>988</v>
      </c>
      <c r="AO138" s="235" t="s">
        <v>989</v>
      </c>
      <c r="AP138" s="233"/>
      <c r="AQ138" s="282">
        <v>68</v>
      </c>
      <c r="AR138" s="238">
        <v>340.00000000000006</v>
      </c>
      <c r="AS138" s="239">
        <v>6.5384615384615392</v>
      </c>
      <c r="AT138" s="240">
        <v>9.6153846153846159E-2</v>
      </c>
      <c r="AU138" s="241">
        <v>45.292307692307695</v>
      </c>
      <c r="AV138" s="233">
        <v>1</v>
      </c>
      <c r="AW138" s="242">
        <f>AV138-AC138</f>
        <v>-3</v>
      </c>
      <c r="AX138" s="235"/>
      <c r="AY138" s="235"/>
      <c r="AZ138" s="235"/>
      <c r="BA138" s="235"/>
      <c r="BB138" s="235"/>
      <c r="BC138" s="235"/>
      <c r="BD138" s="235"/>
      <c r="BE138" s="235"/>
      <c r="BF138" s="235"/>
      <c r="BG138" s="243">
        <f t="shared" si="62"/>
        <v>10.399999999999999</v>
      </c>
      <c r="BH138" s="244">
        <f t="shared" si="63"/>
        <v>0.76923076923076927</v>
      </c>
      <c r="BI138" s="243">
        <f t="shared" si="64"/>
        <v>2</v>
      </c>
      <c r="BJ138" s="243">
        <f t="shared" si="65"/>
        <v>2</v>
      </c>
      <c r="BK138" s="243"/>
      <c r="BL138" s="243"/>
      <c r="BM138" s="243"/>
      <c r="BN138" s="243"/>
      <c r="BO138" s="233"/>
      <c r="BP138" s="245">
        <f t="shared" si="66"/>
        <v>2</v>
      </c>
      <c r="BQ138" s="243">
        <f t="shared" si="67"/>
        <v>20.799999999999997</v>
      </c>
      <c r="BR138" s="233" t="s">
        <v>733</v>
      </c>
      <c r="BS138" s="246"/>
      <c r="BT138" s="247"/>
      <c r="BU138" s="247"/>
      <c r="BV138" s="247"/>
      <c r="BW138" s="247" t="s">
        <v>335</v>
      </c>
      <c r="BX138" s="233" t="s">
        <v>1385</v>
      </c>
      <c r="BY138" s="233"/>
      <c r="CA138" s="235" t="s">
        <v>533</v>
      </c>
      <c r="CB138" s="187" t="e">
        <v>#N/A</v>
      </c>
      <c r="CC138" s="186" t="e">
        <v>#N/A</v>
      </c>
      <c r="CD138" s="186" t="e">
        <v>#N/A</v>
      </c>
      <c r="CE138" s="173" t="e">
        <v>#N/A</v>
      </c>
    </row>
    <row r="139" spans="1:89" ht="15" hidden="1" customHeight="1">
      <c r="A139" s="177" t="s">
        <v>1073</v>
      </c>
      <c r="B139" s="233" t="s">
        <v>564</v>
      </c>
      <c r="C139" s="234">
        <v>83</v>
      </c>
      <c r="D139" s="233" t="s">
        <v>647</v>
      </c>
      <c r="E139" s="235" t="s">
        <v>353</v>
      </c>
      <c r="F139" s="213" t="s">
        <v>1093</v>
      </c>
      <c r="G139" s="213" t="s">
        <v>1094</v>
      </c>
      <c r="H139" s="213"/>
      <c r="I139" s="213"/>
      <c r="J139" s="213"/>
      <c r="K139" s="214"/>
      <c r="L139" s="213"/>
      <c r="M139" s="213"/>
      <c r="N139" s="213"/>
      <c r="O139" s="213"/>
      <c r="P139" s="235">
        <v>5.7</v>
      </c>
      <c r="Q139" s="235">
        <v>3.65</v>
      </c>
      <c r="R139" s="235">
        <v>1.75</v>
      </c>
      <c r="S139" s="215" t="s">
        <v>848</v>
      </c>
      <c r="T139" s="235">
        <v>0.28000000000000003</v>
      </c>
      <c r="U139" s="236">
        <v>2.106987847222222E-2</v>
      </c>
      <c r="V139" s="233" t="s">
        <v>565</v>
      </c>
      <c r="W139" s="235">
        <v>4</v>
      </c>
      <c r="X139" s="235">
        <v>6.75</v>
      </c>
      <c r="Y139" s="235">
        <v>6</v>
      </c>
      <c r="Z139" s="235">
        <v>4.0999999999999996</v>
      </c>
      <c r="AA139" s="235">
        <v>1.1299999999999999</v>
      </c>
      <c r="AB139" s="236">
        <v>9.6093749999999992E-2</v>
      </c>
      <c r="AC139" s="235">
        <v>16</v>
      </c>
      <c r="AD139" s="235"/>
      <c r="AE139" s="235"/>
      <c r="AF139" s="235"/>
      <c r="AG139" s="235"/>
      <c r="AH139" s="235"/>
      <c r="AI139" s="235"/>
      <c r="AJ139" s="235"/>
      <c r="AK139" s="235"/>
      <c r="AL139" s="235"/>
      <c r="AM139" s="237" t="s">
        <v>987</v>
      </c>
      <c r="AN139" s="235" t="s">
        <v>988</v>
      </c>
      <c r="AO139" s="235" t="s">
        <v>989</v>
      </c>
      <c r="AP139" s="233"/>
      <c r="AQ139" s="282">
        <v>1503</v>
      </c>
      <c r="AR139" s="238">
        <v>7515</v>
      </c>
      <c r="AS139" s="239">
        <v>144.51923076923077</v>
      </c>
      <c r="AT139" s="240">
        <v>9.6153846153846159E-2</v>
      </c>
      <c r="AU139" s="241">
        <v>1.4461538461538461</v>
      </c>
      <c r="AV139" s="233">
        <v>3</v>
      </c>
      <c r="AW139" s="242">
        <f>AV139-W139</f>
        <v>-1</v>
      </c>
      <c r="AX139" s="235"/>
      <c r="AY139" s="235"/>
      <c r="AZ139" s="235"/>
      <c r="BA139" s="235"/>
      <c r="BB139" s="235"/>
      <c r="BC139" s="235"/>
      <c r="BD139" s="235"/>
      <c r="BE139" s="235"/>
      <c r="BF139" s="235"/>
      <c r="BG139" s="243">
        <f t="shared" si="62"/>
        <v>31.2</v>
      </c>
      <c r="BH139" s="244">
        <f t="shared" si="63"/>
        <v>0.76923076923076927</v>
      </c>
      <c r="BI139" s="243">
        <f t="shared" si="64"/>
        <v>3</v>
      </c>
      <c r="BJ139" s="243">
        <f t="shared" si="65"/>
        <v>3</v>
      </c>
      <c r="BK139" s="243"/>
      <c r="BL139" s="243"/>
      <c r="BM139" s="243"/>
      <c r="BN139" s="243"/>
      <c r="BO139" s="233"/>
      <c r="BP139" s="245">
        <f t="shared" si="66"/>
        <v>3</v>
      </c>
      <c r="BQ139" s="243">
        <f t="shared" si="67"/>
        <v>31.2</v>
      </c>
      <c r="BR139" s="233" t="s">
        <v>204</v>
      </c>
      <c r="BS139" s="246"/>
      <c r="BT139" s="247" t="s">
        <v>335</v>
      </c>
      <c r="BU139" s="247"/>
      <c r="BV139" s="247"/>
      <c r="BW139" s="247" t="s">
        <v>335</v>
      </c>
      <c r="BX139" s="233" t="s">
        <v>1385</v>
      </c>
      <c r="BY139" s="233"/>
      <c r="CA139" s="235" t="s">
        <v>353</v>
      </c>
      <c r="CB139" s="187" t="e">
        <v>#N/A</v>
      </c>
      <c r="CC139" s="186" t="e">
        <v>#N/A</v>
      </c>
      <c r="CD139" s="186" t="e">
        <v>#N/A</v>
      </c>
      <c r="CE139" s="173" t="e">
        <v>#N/A</v>
      </c>
    </row>
    <row r="140" spans="1:89" ht="15" customHeight="1">
      <c r="A140" s="177" t="s">
        <v>82</v>
      </c>
      <c r="B140" s="173" t="s">
        <v>564</v>
      </c>
      <c r="C140" s="175">
        <v>61</v>
      </c>
      <c r="D140" s="251" t="s">
        <v>649</v>
      </c>
      <c r="E140" s="177" t="s">
        <v>136</v>
      </c>
      <c r="F140" s="213" t="s">
        <v>1093</v>
      </c>
      <c r="G140" s="213" t="s">
        <v>1094</v>
      </c>
      <c r="H140" s="213" t="s">
        <v>73</v>
      </c>
      <c r="I140" s="213" t="s">
        <v>1291</v>
      </c>
      <c r="J140" s="213" t="s">
        <v>1031</v>
      </c>
      <c r="K140" s="214" t="s">
        <v>88</v>
      </c>
      <c r="L140" s="213" t="s">
        <v>1428</v>
      </c>
      <c r="M140" s="213" t="s">
        <v>1429</v>
      </c>
      <c r="N140" s="213"/>
      <c r="O140" s="213"/>
      <c r="P140" s="177">
        <v>5.7</v>
      </c>
      <c r="Q140" s="177">
        <v>3.65</v>
      </c>
      <c r="R140" s="177">
        <v>1.75</v>
      </c>
      <c r="S140" s="215" t="s">
        <v>849</v>
      </c>
      <c r="T140" s="177">
        <v>0.25</v>
      </c>
      <c r="U140" s="178">
        <v>2.106987847222222E-2</v>
      </c>
      <c r="V140" s="173" t="s">
        <v>565</v>
      </c>
      <c r="W140" s="217">
        <v>4</v>
      </c>
      <c r="X140" s="177">
        <v>6.75</v>
      </c>
      <c r="Y140" s="177">
        <v>6</v>
      </c>
      <c r="Z140" s="177">
        <v>4.0999999999999996</v>
      </c>
      <c r="AA140" s="177">
        <v>1</v>
      </c>
      <c r="AB140" s="178">
        <v>9.6093749999999992E-2</v>
      </c>
      <c r="AC140" s="177">
        <v>16</v>
      </c>
      <c r="AD140" s="177">
        <v>7.25</v>
      </c>
      <c r="AE140" s="177">
        <v>13</v>
      </c>
      <c r="AF140" s="177">
        <v>9.1999999999999993</v>
      </c>
      <c r="AG140" s="177">
        <v>6</v>
      </c>
      <c r="AM140" s="218" t="s">
        <v>987</v>
      </c>
      <c r="AN140" s="177" t="s">
        <v>988</v>
      </c>
      <c r="AO140" s="177" t="s">
        <v>989</v>
      </c>
      <c r="AQ140" s="281">
        <v>184</v>
      </c>
      <c r="AR140" s="219">
        <v>1472.0000000000002</v>
      </c>
      <c r="AS140" s="220">
        <v>28.307692307692314</v>
      </c>
      <c r="AT140" s="221">
        <v>0.15384615384615388</v>
      </c>
      <c r="AU140" s="222">
        <v>1.4461538461538461</v>
      </c>
      <c r="AV140" s="189">
        <v>4</v>
      </c>
      <c r="AW140" s="223">
        <f>AV140-W140</f>
        <v>0</v>
      </c>
      <c r="AX140" s="228">
        <v>6.75</v>
      </c>
      <c r="AY140" s="177">
        <v>6</v>
      </c>
      <c r="AZ140" s="177">
        <v>4.0999999999999996</v>
      </c>
      <c r="BA140" s="177">
        <v>1</v>
      </c>
      <c r="BG140" s="182">
        <f t="shared" si="62"/>
        <v>25.999999999999993</v>
      </c>
      <c r="BH140" s="224">
        <f t="shared" si="63"/>
        <v>1.2307692307692311</v>
      </c>
      <c r="BI140" s="182">
        <f t="shared" si="64"/>
        <v>4</v>
      </c>
      <c r="BJ140" s="182">
        <f t="shared" si="65"/>
        <v>4</v>
      </c>
      <c r="BL140" s="182"/>
      <c r="BM140" s="182"/>
      <c r="BN140" s="182"/>
      <c r="BP140" s="225">
        <f t="shared" si="66"/>
        <v>4</v>
      </c>
      <c r="BQ140" s="182">
        <f t="shared" si="67"/>
        <v>25.999999999999993</v>
      </c>
      <c r="BR140" s="173" t="s">
        <v>204</v>
      </c>
      <c r="BS140" s="226">
        <f t="shared" si="68"/>
        <v>1064.3692307692309</v>
      </c>
      <c r="BT140" s="227"/>
      <c r="BU140" s="227" t="s">
        <v>335</v>
      </c>
      <c r="BV140" s="227"/>
      <c r="BW140" s="227" t="s">
        <v>335</v>
      </c>
      <c r="BX140" s="230" t="s">
        <v>1414</v>
      </c>
      <c r="BY140" s="231" t="s">
        <v>1415</v>
      </c>
      <c r="BZ140" s="173" t="s">
        <v>1430</v>
      </c>
      <c r="CA140" s="177" t="s">
        <v>136</v>
      </c>
      <c r="CB140" s="187">
        <v>846.4</v>
      </c>
      <c r="CC140" s="186">
        <v>1472.0000000000002</v>
      </c>
      <c r="CD140" s="186">
        <v>4</v>
      </c>
      <c r="CE140" s="173">
        <v>16</v>
      </c>
      <c r="CF140" s="173">
        <f t="shared" ref="CF140" si="69">CE140</f>
        <v>16</v>
      </c>
      <c r="CG140" s="173">
        <f t="shared" ref="CG140:CG141" si="70">CE140/CD140</f>
        <v>4</v>
      </c>
      <c r="CK140" s="173">
        <f t="shared" ref="CK140:CK141" si="71">CD140-AV140</f>
        <v>0</v>
      </c>
    </row>
    <row r="141" spans="1:89" ht="15" customHeight="1">
      <c r="A141" s="177" t="s">
        <v>82</v>
      </c>
      <c r="B141" s="173" t="s">
        <v>564</v>
      </c>
      <c r="C141" s="175">
        <v>53</v>
      </c>
      <c r="D141" s="173" t="s">
        <v>417</v>
      </c>
      <c r="E141" s="177" t="s">
        <v>161</v>
      </c>
      <c r="F141" s="213" t="s">
        <v>1193</v>
      </c>
      <c r="G141" s="213" t="s">
        <v>1194</v>
      </c>
      <c r="H141" s="213" t="s">
        <v>122</v>
      </c>
      <c r="I141" s="213" t="s">
        <v>1431</v>
      </c>
      <c r="J141" s="213" t="s">
        <v>1216</v>
      </c>
      <c r="K141" s="214" t="s">
        <v>88</v>
      </c>
      <c r="L141" s="213" t="s">
        <v>1432</v>
      </c>
      <c r="M141" s="213" t="s">
        <v>1433</v>
      </c>
      <c r="N141" s="213" t="s">
        <v>1434</v>
      </c>
      <c r="O141" s="213"/>
      <c r="P141" s="177">
        <v>5.7</v>
      </c>
      <c r="Q141" s="177">
        <v>3.65</v>
      </c>
      <c r="R141" s="177">
        <v>2</v>
      </c>
      <c r="S141" s="215">
        <v>730007000702</v>
      </c>
      <c r="T141" s="177">
        <v>0.1</v>
      </c>
      <c r="U141" s="178">
        <v>2.4079861111111111E-2</v>
      </c>
      <c r="V141" s="173" t="s">
        <v>565</v>
      </c>
      <c r="W141" s="217">
        <v>4</v>
      </c>
      <c r="X141" s="177">
        <v>4.5</v>
      </c>
      <c r="Y141" s="177">
        <v>8</v>
      </c>
      <c r="Z141" s="177">
        <v>5</v>
      </c>
      <c r="AA141" s="177">
        <v>0.6</v>
      </c>
      <c r="AB141" s="178">
        <v>0.10416666666666667</v>
      </c>
      <c r="AC141" s="177">
        <v>80</v>
      </c>
      <c r="AD141" s="177">
        <v>23.5</v>
      </c>
      <c r="AE141" s="177">
        <v>11.5</v>
      </c>
      <c r="AF141" s="177">
        <v>11</v>
      </c>
      <c r="AG141" s="177">
        <v>12</v>
      </c>
      <c r="AM141" s="218" t="s">
        <v>987</v>
      </c>
      <c r="AN141" s="177" t="s">
        <v>988</v>
      </c>
      <c r="AO141" s="177" t="s">
        <v>989</v>
      </c>
      <c r="AQ141" s="281">
        <v>68</v>
      </c>
      <c r="AR141" s="219">
        <v>340.00000000000006</v>
      </c>
      <c r="AS141" s="220">
        <v>6.5384615384615392</v>
      </c>
      <c r="AT141" s="221">
        <v>9.6153846153846159E-2</v>
      </c>
      <c r="AU141" s="222">
        <v>0.76923076923076916</v>
      </c>
      <c r="AV141" s="189">
        <v>6</v>
      </c>
      <c r="AW141" s="223">
        <f>AV141-W141</f>
        <v>2</v>
      </c>
      <c r="AX141" s="177">
        <v>4.5</v>
      </c>
      <c r="AY141" s="177">
        <v>11</v>
      </c>
      <c r="AZ141" s="177">
        <v>5</v>
      </c>
      <c r="BA141" s="229">
        <v>1</v>
      </c>
      <c r="BB141" s="229"/>
      <c r="BC141" s="229"/>
      <c r="BD141" s="229"/>
      <c r="BE141" s="229"/>
      <c r="BF141" s="229"/>
      <c r="BG141" s="182">
        <f t="shared" si="62"/>
        <v>62.4</v>
      </c>
      <c r="BH141" s="224">
        <f t="shared" si="63"/>
        <v>0.76923076923076927</v>
      </c>
      <c r="BI141" s="182">
        <f t="shared" si="64"/>
        <v>6</v>
      </c>
      <c r="BJ141" s="182">
        <f t="shared" si="65"/>
        <v>6</v>
      </c>
      <c r="BL141" s="182"/>
      <c r="BM141" s="182"/>
      <c r="BN141" s="182"/>
      <c r="BP141" s="225">
        <f t="shared" si="66"/>
        <v>6</v>
      </c>
      <c r="BQ141" s="182">
        <f t="shared" si="67"/>
        <v>62.4</v>
      </c>
      <c r="BR141" s="173" t="s">
        <v>204</v>
      </c>
      <c r="BS141" s="226">
        <f t="shared" si="68"/>
        <v>313.84615384615381</v>
      </c>
      <c r="BT141" s="227"/>
      <c r="BU141" s="227"/>
      <c r="BV141" s="227"/>
      <c r="BW141" s="227" t="s">
        <v>335</v>
      </c>
      <c r="BX141" s="230" t="s">
        <v>1122</v>
      </c>
      <c r="BY141" s="189" t="s">
        <v>1301</v>
      </c>
      <c r="CA141" s="177" t="s">
        <v>161</v>
      </c>
      <c r="CB141" s="187">
        <v>469.2</v>
      </c>
      <c r="CC141" s="186">
        <v>340.00000000000006</v>
      </c>
      <c r="CD141" s="186">
        <v>6</v>
      </c>
      <c r="CE141" s="173">
        <v>80</v>
      </c>
      <c r="CF141" s="173">
        <v>60</v>
      </c>
      <c r="CG141" s="173">
        <f t="shared" si="70"/>
        <v>13.333333333333334</v>
      </c>
      <c r="CK141" s="173">
        <f t="shared" si="71"/>
        <v>0</v>
      </c>
    </row>
    <row r="142" spans="1:89" ht="15" hidden="1" customHeight="1">
      <c r="A142" s="177" t="s">
        <v>1073</v>
      </c>
      <c r="B142" s="233" t="s">
        <v>564</v>
      </c>
      <c r="C142" s="234">
        <v>125</v>
      </c>
      <c r="D142" s="233" t="s">
        <v>381</v>
      </c>
      <c r="E142" s="235" t="s">
        <v>380</v>
      </c>
      <c r="F142" s="213" t="s">
        <v>1056</v>
      </c>
      <c r="G142" s="213" t="s">
        <v>1057</v>
      </c>
      <c r="H142" s="213"/>
      <c r="I142" s="213"/>
      <c r="J142" s="213"/>
      <c r="K142" s="214"/>
      <c r="L142" s="213"/>
      <c r="M142" s="213"/>
      <c r="N142" s="213"/>
      <c r="O142" s="213"/>
      <c r="P142" s="235">
        <v>8.5</v>
      </c>
      <c r="Q142" s="235">
        <v>8.5</v>
      </c>
      <c r="R142" s="235">
        <v>5</v>
      </c>
      <c r="S142" s="215" t="s">
        <v>854</v>
      </c>
      <c r="T142" s="235">
        <v>0.89</v>
      </c>
      <c r="U142" s="236">
        <v>0.20905671296296297</v>
      </c>
      <c r="V142" s="233" t="s">
        <v>565</v>
      </c>
      <c r="W142" s="235">
        <v>3</v>
      </c>
      <c r="X142" s="235">
        <v>8.1</v>
      </c>
      <c r="Y142" s="235">
        <v>8.1</v>
      </c>
      <c r="Z142" s="235">
        <v>9.75</v>
      </c>
      <c r="AA142" s="235">
        <v>8</v>
      </c>
      <c r="AB142" s="236">
        <v>0.37019531249999998</v>
      </c>
      <c r="AC142" s="235">
        <v>12</v>
      </c>
      <c r="AD142" s="235"/>
      <c r="AE142" s="235"/>
      <c r="AF142" s="235"/>
      <c r="AG142" s="235"/>
      <c r="AH142" s="235"/>
      <c r="AI142" s="235"/>
      <c r="AJ142" s="235"/>
      <c r="AK142" s="235"/>
      <c r="AL142" s="235"/>
      <c r="AM142" s="237" t="s">
        <v>987</v>
      </c>
      <c r="AN142" s="235" t="s">
        <v>988</v>
      </c>
      <c r="AO142" s="235" t="s">
        <v>989</v>
      </c>
      <c r="AP142" s="233"/>
      <c r="AQ142" s="282">
        <v>1619</v>
      </c>
      <c r="AR142" s="238">
        <v>12952</v>
      </c>
      <c r="AS142" s="239">
        <v>249.07692307692307</v>
      </c>
      <c r="AT142" s="240">
        <v>0.15384615384615383</v>
      </c>
      <c r="AU142" s="241">
        <v>3.9907692307692306</v>
      </c>
      <c r="AV142" s="233">
        <v>3</v>
      </c>
      <c r="AW142" s="242">
        <f>AV142-W142</f>
        <v>0</v>
      </c>
      <c r="AX142" s="235"/>
      <c r="AY142" s="235"/>
      <c r="AZ142" s="235"/>
      <c r="BA142" s="235"/>
      <c r="BB142" s="235"/>
      <c r="BC142" s="235"/>
      <c r="BD142" s="235"/>
      <c r="BE142" s="235"/>
      <c r="BF142" s="235"/>
      <c r="BG142" s="243">
        <f t="shared" si="62"/>
        <v>19.500000000000004</v>
      </c>
      <c r="BH142" s="244">
        <f t="shared" si="63"/>
        <v>1.2307692307692306</v>
      </c>
      <c r="BI142" s="243">
        <f t="shared" si="64"/>
        <v>3</v>
      </c>
      <c r="BJ142" s="243">
        <f t="shared" si="65"/>
        <v>3</v>
      </c>
      <c r="BK142" s="243"/>
      <c r="BL142" s="243"/>
      <c r="BM142" s="243"/>
      <c r="BN142" s="243"/>
      <c r="BO142" s="233"/>
      <c r="BP142" s="245">
        <f t="shared" si="66"/>
        <v>3</v>
      </c>
      <c r="BQ142" s="243">
        <f t="shared" si="67"/>
        <v>19.500000000000004</v>
      </c>
      <c r="BR142" s="233" t="s">
        <v>204</v>
      </c>
      <c r="BS142" s="246"/>
      <c r="BT142" s="247" t="s">
        <v>335</v>
      </c>
      <c r="BU142" s="247" t="s">
        <v>335</v>
      </c>
      <c r="BV142" s="247"/>
      <c r="BW142" s="247" t="s">
        <v>335</v>
      </c>
      <c r="BX142" s="233" t="s">
        <v>1385</v>
      </c>
      <c r="BY142" s="233"/>
      <c r="CA142" s="235" t="s">
        <v>380</v>
      </c>
      <c r="CB142" s="187" t="e">
        <v>#N/A</v>
      </c>
      <c r="CC142" s="186" t="e">
        <v>#N/A</v>
      </c>
      <c r="CD142" s="186" t="e">
        <v>#N/A</v>
      </c>
      <c r="CE142" s="173" t="e">
        <v>#N/A</v>
      </c>
    </row>
    <row r="143" spans="1:89" ht="15" customHeight="1">
      <c r="A143" s="177" t="s">
        <v>82</v>
      </c>
      <c r="B143" s="173" t="s">
        <v>564</v>
      </c>
      <c r="C143" s="175">
        <v>118</v>
      </c>
      <c r="D143" s="251" t="s">
        <v>271</v>
      </c>
      <c r="E143" s="232" t="s">
        <v>107</v>
      </c>
      <c r="F143" s="213" t="s">
        <v>1077</v>
      </c>
      <c r="G143" s="213" t="s">
        <v>1435</v>
      </c>
      <c r="H143" s="213"/>
      <c r="I143" s="213" t="s">
        <v>1436</v>
      </c>
      <c r="J143" s="213" t="s">
        <v>1031</v>
      </c>
      <c r="K143" s="214" t="s">
        <v>272</v>
      </c>
      <c r="L143" s="213" t="s">
        <v>1437</v>
      </c>
      <c r="M143" s="213"/>
      <c r="N143" s="213" t="s">
        <v>1438</v>
      </c>
      <c r="O143" s="213" t="s">
        <v>1439</v>
      </c>
      <c r="P143" s="177">
        <v>8</v>
      </c>
      <c r="Q143" s="177">
        <v>8</v>
      </c>
      <c r="R143" s="177">
        <v>3.5</v>
      </c>
      <c r="S143" s="215" t="s">
        <v>830</v>
      </c>
      <c r="T143" s="177">
        <v>0.5</v>
      </c>
      <c r="U143" s="178">
        <v>0.12962962962962962</v>
      </c>
      <c r="V143" s="173" t="s">
        <v>572</v>
      </c>
      <c r="W143" s="217">
        <v>3</v>
      </c>
      <c r="X143" s="177">
        <v>6</v>
      </c>
      <c r="Y143" s="177">
        <v>6</v>
      </c>
      <c r="Z143" s="177">
        <v>11</v>
      </c>
      <c r="AA143" s="177">
        <v>0.5</v>
      </c>
      <c r="AB143" s="178">
        <v>0.22916666666666666</v>
      </c>
      <c r="AC143" s="177">
        <v>48</v>
      </c>
      <c r="AD143" s="177">
        <v>25</v>
      </c>
      <c r="AE143" s="177">
        <v>13</v>
      </c>
      <c r="AF143" s="177">
        <v>23</v>
      </c>
      <c r="AG143" s="177">
        <v>26</v>
      </c>
      <c r="AM143" s="218" t="s">
        <v>987</v>
      </c>
      <c r="AN143" s="177" t="s">
        <v>988</v>
      </c>
      <c r="AO143" s="177" t="s">
        <v>989</v>
      </c>
      <c r="AQ143" s="281">
        <v>1599</v>
      </c>
      <c r="AR143" s="219">
        <v>11193</v>
      </c>
      <c r="AS143" s="220">
        <v>215.25</v>
      </c>
      <c r="AT143" s="221">
        <v>0.13461538461538461</v>
      </c>
      <c r="AU143" s="222">
        <v>1.6923076923076923</v>
      </c>
      <c r="AV143" s="189">
        <v>3</v>
      </c>
      <c r="AW143" s="223">
        <f>AV143-W143</f>
        <v>0</v>
      </c>
      <c r="AX143" s="177">
        <v>6</v>
      </c>
      <c r="AY143" s="177">
        <v>6</v>
      </c>
      <c r="AZ143" s="177">
        <v>11</v>
      </c>
      <c r="BA143" s="229">
        <v>1.5</v>
      </c>
      <c r="BB143" s="229"/>
      <c r="BC143" s="229"/>
      <c r="BD143" s="229"/>
      <c r="BE143" s="229"/>
      <c r="BF143" s="229"/>
      <c r="BG143" s="182">
        <f t="shared" si="62"/>
        <v>22.285714285714288</v>
      </c>
      <c r="BH143" s="224">
        <f t="shared" si="63"/>
        <v>1.0769230769230769</v>
      </c>
      <c r="BI143" s="182">
        <f t="shared" si="64"/>
        <v>3</v>
      </c>
      <c r="BJ143" s="182">
        <f t="shared" si="65"/>
        <v>3</v>
      </c>
      <c r="BL143" s="182"/>
      <c r="BM143" s="182"/>
      <c r="BN143" s="182"/>
      <c r="BP143" s="225">
        <f t="shared" si="66"/>
        <v>3</v>
      </c>
      <c r="BQ143" s="182">
        <f t="shared" si="67"/>
        <v>22.285714285714288</v>
      </c>
      <c r="BR143" s="173" t="s">
        <v>707</v>
      </c>
      <c r="BS143" s="226">
        <f t="shared" si="68"/>
        <v>8118</v>
      </c>
      <c r="BT143" s="227" t="s">
        <v>335</v>
      </c>
      <c r="BU143" s="227"/>
      <c r="BV143" s="227" t="s">
        <v>335</v>
      </c>
      <c r="BW143" s="227" t="s">
        <v>335</v>
      </c>
      <c r="BX143" s="189" t="s">
        <v>1014</v>
      </c>
      <c r="BY143" s="189"/>
      <c r="BZ143" s="173" t="s">
        <v>1440</v>
      </c>
      <c r="CA143" s="232" t="s">
        <v>107</v>
      </c>
      <c r="CB143" s="187">
        <v>5516.55</v>
      </c>
      <c r="CC143" s="186">
        <v>11193</v>
      </c>
      <c r="CD143" s="186">
        <v>3</v>
      </c>
      <c r="CE143" s="173">
        <v>48</v>
      </c>
      <c r="CF143" s="173">
        <f t="shared" ref="CF143:CF145" si="72">CE143</f>
        <v>48</v>
      </c>
      <c r="CG143" s="173">
        <f t="shared" ref="CG143:CG145" si="73">CE143/CD143</f>
        <v>16</v>
      </c>
      <c r="CK143" s="173">
        <f t="shared" ref="CK143:CK145" si="74">CD143-AV143</f>
        <v>0</v>
      </c>
    </row>
    <row r="144" spans="1:89" ht="15" customHeight="1">
      <c r="A144" s="177" t="s">
        <v>82</v>
      </c>
      <c r="B144" s="173" t="s">
        <v>564</v>
      </c>
      <c r="C144" s="175">
        <v>11</v>
      </c>
      <c r="D144" s="173" t="s">
        <v>387</v>
      </c>
      <c r="E144" s="177" t="s">
        <v>147</v>
      </c>
      <c r="F144" s="213" t="s">
        <v>1104</v>
      </c>
      <c r="G144" s="213" t="s">
        <v>1105</v>
      </c>
      <c r="H144" s="213" t="s">
        <v>73</v>
      </c>
      <c r="I144" s="213" t="s">
        <v>1441</v>
      </c>
      <c r="J144" s="213" t="s">
        <v>1107</v>
      </c>
      <c r="K144" s="214" t="s">
        <v>388</v>
      </c>
      <c r="L144" s="213" t="s">
        <v>1442</v>
      </c>
      <c r="M144" s="213" t="s">
        <v>1443</v>
      </c>
      <c r="N144" s="213"/>
      <c r="O144" s="213"/>
      <c r="P144" s="177">
        <v>4</v>
      </c>
      <c r="Q144" s="177">
        <v>6</v>
      </c>
      <c r="R144" s="177">
        <v>11</v>
      </c>
      <c r="S144" s="215" t="s">
        <v>857</v>
      </c>
      <c r="T144" s="177" t="s">
        <v>327</v>
      </c>
      <c r="U144" s="178" t="s">
        <v>327</v>
      </c>
      <c r="V144" s="173" t="s">
        <v>584</v>
      </c>
      <c r="W144" s="177" t="s">
        <v>335</v>
      </c>
      <c r="X144" s="177" t="s">
        <v>335</v>
      </c>
      <c r="Y144" s="177" t="s">
        <v>335</v>
      </c>
      <c r="Z144" s="177" t="s">
        <v>335</v>
      </c>
      <c r="AA144" s="177" t="s">
        <v>335</v>
      </c>
      <c r="AB144" s="178" t="e">
        <v>#VALUE!</v>
      </c>
      <c r="AC144" s="217">
        <v>6</v>
      </c>
      <c r="AD144" s="177">
        <v>19</v>
      </c>
      <c r="AE144" s="177">
        <v>10.25</v>
      </c>
      <c r="AF144" s="177">
        <v>10.5</v>
      </c>
      <c r="AG144" s="177">
        <v>24</v>
      </c>
      <c r="AM144" s="218" t="s">
        <v>987</v>
      </c>
      <c r="AN144" s="177" t="s">
        <v>988</v>
      </c>
      <c r="AO144" s="177" t="s">
        <v>989</v>
      </c>
      <c r="AQ144" s="281">
        <v>68</v>
      </c>
      <c r="AR144" s="219">
        <v>340.00000000000006</v>
      </c>
      <c r="AS144" s="220">
        <v>6.5384615384615392</v>
      </c>
      <c r="AT144" s="221">
        <v>9.6153846153846159E-2</v>
      </c>
      <c r="AU144" s="222">
        <v>21.061538461538461</v>
      </c>
      <c r="AV144" s="189">
        <v>3</v>
      </c>
      <c r="AW144" s="223">
        <f>AV144-AC144</f>
        <v>-3</v>
      </c>
      <c r="AX144" s="177">
        <v>18.5</v>
      </c>
      <c r="AY144" s="177">
        <v>9.75</v>
      </c>
      <c r="AZ144" s="177">
        <f>9.5/2</f>
        <v>4.75</v>
      </c>
      <c r="BA144" s="177">
        <f>22/2</f>
        <v>11</v>
      </c>
      <c r="BG144" s="182">
        <f t="shared" si="62"/>
        <v>31.2</v>
      </c>
      <c r="BH144" s="224">
        <f t="shared" si="63"/>
        <v>0.76923076923076927</v>
      </c>
      <c r="BI144" s="182">
        <f t="shared" si="64"/>
        <v>3</v>
      </c>
      <c r="BJ144" s="182">
        <f t="shared" si="65"/>
        <v>3</v>
      </c>
      <c r="BL144" s="182"/>
      <c r="BM144" s="182"/>
      <c r="BN144" s="182"/>
      <c r="BP144" s="225">
        <f t="shared" si="66"/>
        <v>3</v>
      </c>
      <c r="BQ144" s="182">
        <f t="shared" si="67"/>
        <v>31.2</v>
      </c>
      <c r="BR144" s="173" t="s">
        <v>204</v>
      </c>
      <c r="BS144" s="226">
        <f t="shared" si="68"/>
        <v>4296.5538461538463</v>
      </c>
      <c r="BT144" s="227"/>
      <c r="BU144" s="227"/>
      <c r="BV144" s="227"/>
      <c r="BW144" s="227" t="s">
        <v>335</v>
      </c>
      <c r="BX144" s="189" t="s">
        <v>990</v>
      </c>
      <c r="BY144" s="189"/>
      <c r="CA144" s="177" t="s">
        <v>147</v>
      </c>
      <c r="CB144" s="187">
        <v>234.6</v>
      </c>
      <c r="CC144" s="186">
        <v>340.00000000000006</v>
      </c>
      <c r="CD144" s="186">
        <v>3</v>
      </c>
      <c r="CE144" s="173">
        <v>6</v>
      </c>
      <c r="CF144" s="173">
        <f t="shared" si="72"/>
        <v>6</v>
      </c>
      <c r="CG144" s="173">
        <f t="shared" si="73"/>
        <v>2</v>
      </c>
      <c r="CK144" s="173">
        <f t="shared" si="74"/>
        <v>0</v>
      </c>
    </row>
    <row r="145" spans="1:89" ht="15" customHeight="1">
      <c r="A145" s="177" t="s">
        <v>82</v>
      </c>
      <c r="B145" s="173" t="s">
        <v>564</v>
      </c>
      <c r="C145" s="175">
        <v>51</v>
      </c>
      <c r="D145" s="173" t="s">
        <v>438</v>
      </c>
      <c r="E145" s="232" t="s">
        <v>163</v>
      </c>
      <c r="F145" s="213" t="s">
        <v>1193</v>
      </c>
      <c r="G145" s="213" t="s">
        <v>1194</v>
      </c>
      <c r="H145" s="213" t="s">
        <v>122</v>
      </c>
      <c r="I145" s="213" t="s">
        <v>1444</v>
      </c>
      <c r="J145" s="213" t="s">
        <v>1031</v>
      </c>
      <c r="K145" s="214" t="s">
        <v>78</v>
      </c>
      <c r="L145" s="213" t="s">
        <v>1445</v>
      </c>
      <c r="M145" s="213" t="s">
        <v>1446</v>
      </c>
      <c r="N145" s="213"/>
      <c r="O145" s="213"/>
      <c r="P145" s="177">
        <v>8.25</v>
      </c>
      <c r="Q145" s="177">
        <v>5.125</v>
      </c>
      <c r="R145" s="177">
        <v>5.5</v>
      </c>
      <c r="S145" s="215" t="s">
        <v>869</v>
      </c>
      <c r="T145" s="177">
        <v>0.67</v>
      </c>
      <c r="U145" s="178">
        <v>0.13457573784722221</v>
      </c>
      <c r="V145" s="173" t="s">
        <v>565</v>
      </c>
      <c r="W145" s="217">
        <v>3</v>
      </c>
      <c r="X145" s="177">
        <v>3.4</v>
      </c>
      <c r="Y145" s="177">
        <v>10.5</v>
      </c>
      <c r="Z145" s="177">
        <v>9</v>
      </c>
      <c r="AA145" s="177">
        <v>2</v>
      </c>
      <c r="AB145" s="178">
        <v>0.18593749999999998</v>
      </c>
      <c r="AC145" s="177">
        <v>48</v>
      </c>
      <c r="AD145" s="177">
        <v>14.6</v>
      </c>
      <c r="AE145" s="177">
        <v>22</v>
      </c>
      <c r="AF145" s="177">
        <v>19</v>
      </c>
      <c r="AG145" s="177">
        <v>34</v>
      </c>
      <c r="AM145" s="218" t="s">
        <v>987</v>
      </c>
      <c r="AN145" s="177" t="s">
        <v>988</v>
      </c>
      <c r="AO145" s="177" t="s">
        <v>989</v>
      </c>
      <c r="AQ145" s="281">
        <v>68</v>
      </c>
      <c r="AR145" s="219">
        <v>408</v>
      </c>
      <c r="AS145" s="220">
        <v>7.8461538461538458</v>
      </c>
      <c r="AT145" s="221">
        <v>0.11538461538461538</v>
      </c>
      <c r="AU145" s="222">
        <v>2.4220000000000002</v>
      </c>
      <c r="AV145" s="189">
        <v>3</v>
      </c>
      <c r="AW145" s="223">
        <f>AV145-W145</f>
        <v>0</v>
      </c>
      <c r="AX145" s="177">
        <v>3.4</v>
      </c>
      <c r="AY145" s="177">
        <v>10.5</v>
      </c>
      <c r="AZ145" s="177">
        <v>9</v>
      </c>
      <c r="BA145" s="177">
        <v>2</v>
      </c>
      <c r="BG145" s="182">
        <f t="shared" si="62"/>
        <v>26</v>
      </c>
      <c r="BH145" s="224">
        <f t="shared" si="63"/>
        <v>0.92307692307692302</v>
      </c>
      <c r="BI145" s="182">
        <f t="shared" si="64"/>
        <v>3</v>
      </c>
      <c r="BJ145" s="182">
        <f t="shared" si="65"/>
        <v>3</v>
      </c>
      <c r="BL145" s="182"/>
      <c r="BM145" s="182"/>
      <c r="BN145" s="182"/>
      <c r="BP145" s="225">
        <f t="shared" si="66"/>
        <v>3</v>
      </c>
      <c r="BQ145" s="182">
        <f t="shared" si="67"/>
        <v>26</v>
      </c>
      <c r="BR145" s="173" t="s">
        <v>204</v>
      </c>
      <c r="BS145" s="226">
        <f t="shared" si="68"/>
        <v>494.08800000000002</v>
      </c>
      <c r="BT145" s="227"/>
      <c r="BU145" s="227"/>
      <c r="BV145" s="227"/>
      <c r="BW145" s="227" t="s">
        <v>335</v>
      </c>
      <c r="BX145" s="189" t="s">
        <v>1014</v>
      </c>
      <c r="BY145" s="189"/>
      <c r="CA145" s="232" t="s">
        <v>163</v>
      </c>
      <c r="CB145" s="187">
        <v>234.6</v>
      </c>
      <c r="CC145" s="186">
        <v>408</v>
      </c>
      <c r="CD145" s="186">
        <v>3</v>
      </c>
      <c r="CE145" s="173">
        <v>48</v>
      </c>
      <c r="CF145" s="173">
        <f t="shared" si="72"/>
        <v>48</v>
      </c>
      <c r="CG145" s="173">
        <f t="shared" si="73"/>
        <v>16</v>
      </c>
      <c r="CK145" s="173">
        <f t="shared" si="74"/>
        <v>0</v>
      </c>
    </row>
    <row r="146" spans="1:89" ht="15" hidden="1" customHeight="1">
      <c r="A146" s="177" t="s">
        <v>1073</v>
      </c>
      <c r="B146" s="233" t="s">
        <v>564</v>
      </c>
      <c r="C146" s="234">
        <v>45</v>
      </c>
      <c r="D146" s="233" t="s">
        <v>334</v>
      </c>
      <c r="E146" s="235" t="s">
        <v>333</v>
      </c>
      <c r="F146" s="213" t="s">
        <v>980</v>
      </c>
      <c r="G146" s="213" t="s">
        <v>981</v>
      </c>
      <c r="H146" s="213"/>
      <c r="I146" s="213"/>
      <c r="J146" s="213"/>
      <c r="K146" s="214"/>
      <c r="L146" s="213"/>
      <c r="M146" s="213"/>
      <c r="N146" s="213"/>
      <c r="O146" s="213"/>
      <c r="P146" s="235">
        <v>6.8</v>
      </c>
      <c r="Q146" s="235">
        <v>5.125</v>
      </c>
      <c r="R146" s="235">
        <v>3</v>
      </c>
      <c r="S146" s="215">
        <v>730007000269</v>
      </c>
      <c r="T146" s="235">
        <v>0.37</v>
      </c>
      <c r="U146" s="236">
        <v>6.0503472222222229E-2</v>
      </c>
      <c r="V146" s="233" t="s">
        <v>565</v>
      </c>
      <c r="W146" s="235">
        <v>3</v>
      </c>
      <c r="X146" s="235">
        <v>10.5</v>
      </c>
      <c r="Y146" s="235">
        <v>9</v>
      </c>
      <c r="Z146" s="235">
        <v>3.4</v>
      </c>
      <c r="AA146" s="235">
        <v>1.25</v>
      </c>
      <c r="AB146" s="236">
        <v>0.18593750000000001</v>
      </c>
      <c r="AC146" s="235">
        <v>24</v>
      </c>
      <c r="AD146" s="235">
        <v>7.5</v>
      </c>
      <c r="AE146" s="235">
        <v>15.5</v>
      </c>
      <c r="AF146" s="235"/>
      <c r="AG146" s="235"/>
      <c r="AH146" s="235"/>
      <c r="AI146" s="235"/>
      <c r="AJ146" s="235"/>
      <c r="AK146" s="235"/>
      <c r="AL146" s="235"/>
      <c r="AM146" s="237" t="s">
        <v>987</v>
      </c>
      <c r="AN146" s="235" t="s">
        <v>988</v>
      </c>
      <c r="AO146" s="235" t="s">
        <v>989</v>
      </c>
      <c r="AP146" s="233"/>
      <c r="AQ146" s="282">
        <v>68</v>
      </c>
      <c r="AR146" s="238">
        <v>340.00000000000006</v>
      </c>
      <c r="AS146" s="239">
        <v>6.5384615384615392</v>
      </c>
      <c r="AT146" s="240">
        <v>9.6153846153846159E-2</v>
      </c>
      <c r="AU146" s="241">
        <v>2.6153846153846154</v>
      </c>
      <c r="AV146" s="233">
        <v>3</v>
      </c>
      <c r="AW146" s="242">
        <f>AV146-W146</f>
        <v>0</v>
      </c>
      <c r="AX146" s="235"/>
      <c r="AY146" s="235"/>
      <c r="AZ146" s="235"/>
      <c r="BA146" s="235"/>
      <c r="BB146" s="235"/>
      <c r="BC146" s="235"/>
      <c r="BD146" s="235"/>
      <c r="BE146" s="235"/>
      <c r="BF146" s="235"/>
      <c r="BG146" s="243">
        <f t="shared" si="62"/>
        <v>31.2</v>
      </c>
      <c r="BH146" s="244">
        <f t="shared" si="63"/>
        <v>0.76923076923076927</v>
      </c>
      <c r="BI146" s="243">
        <f t="shared" si="64"/>
        <v>3</v>
      </c>
      <c r="BJ146" s="243">
        <f t="shared" si="65"/>
        <v>3</v>
      </c>
      <c r="BK146" s="243"/>
      <c r="BL146" s="243"/>
      <c r="BM146" s="243"/>
      <c r="BN146" s="243"/>
      <c r="BO146" s="233"/>
      <c r="BP146" s="245">
        <f t="shared" si="66"/>
        <v>3</v>
      </c>
      <c r="BQ146" s="243">
        <f t="shared" si="67"/>
        <v>31.2</v>
      </c>
      <c r="BR146" s="233" t="s">
        <v>204</v>
      </c>
      <c r="BS146" s="246"/>
      <c r="BT146" s="247"/>
      <c r="BU146" s="247"/>
      <c r="BV146" s="247"/>
      <c r="BW146" s="247" t="s">
        <v>335</v>
      </c>
      <c r="BX146" s="233" t="s">
        <v>1385</v>
      </c>
      <c r="BY146" s="233"/>
      <c r="CA146" s="235" t="s">
        <v>333</v>
      </c>
      <c r="CB146" s="187" t="e">
        <v>#N/A</v>
      </c>
      <c r="CC146" s="186" t="e">
        <v>#N/A</v>
      </c>
      <c r="CD146" s="186" t="e">
        <v>#N/A</v>
      </c>
      <c r="CE146" s="173" t="e">
        <v>#N/A</v>
      </c>
    </row>
    <row r="148" spans="1:89">
      <c r="B148" s="173" t="s">
        <v>1447</v>
      </c>
    </row>
  </sheetData>
  <autoFilter ref="A3:CK146">
    <filterColumn colId="81">
      <filters>
        <filter val="1"/>
        <filter val="10"/>
        <filter val="15"/>
        <filter val="2"/>
        <filter val="3"/>
        <filter val="4"/>
        <filter val="5"/>
        <filter val="6"/>
        <filter val="8"/>
      </filters>
    </filterColumn>
  </autoFilter>
  <mergeCells count="1">
    <mergeCell ref="BH2:BQ2"/>
  </mergeCells>
  <conditionalFormatting sqref="C4:D6">
    <cfRule type="expression" dxfId="0" priority="1">
      <formula>AND(ROW()-11&gt;#REF!,ROW()-11&lt;=#REF!+#REF!)</formula>
    </cfRule>
  </conditionalFormatting>
  <dataValidations disablePrompts="1" count="1">
    <dataValidation allowBlank="1" showInputMessage="1" showErrorMessage="1" promptTitle="Low Level GTIN" prompt="Global Trade Identification Number assigned to the quantity Lowe's sells to consumers. " sqref="S4:S24 S26:S78 S80:S146"/>
  </dataValidations>
  <pageMargins left="0.7" right="0.7" top="0.75" bottom="0.75" header="0.3" footer="0.3"/>
  <pageSetup scale="70" orientation="landscape" verticalDpi="599"/>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E92B02CF81AC42B83B06B94800EAC4" ma:contentTypeVersion="4" ma:contentTypeDescription="Create a new document." ma:contentTypeScope="" ma:versionID="a007924973600b27e2a7df68e23564ba">
  <xsd:schema xmlns:xsd="http://www.w3.org/2001/XMLSchema" xmlns:xs="http://www.w3.org/2001/XMLSchema" xmlns:p="http://schemas.microsoft.com/office/2006/metadata/properties" xmlns:ns2="fc63a28a-40ac-4720-861d-c1112700b83a" xmlns:ns3="01fea214-21f0-4e8d-935d-9d1ab7e0d1fa" targetNamespace="http://schemas.microsoft.com/office/2006/metadata/properties" ma:root="true" ma:fieldsID="e72bc3c7e4ce5a74483bdc9806e82180" ns2:_="" ns3:_="">
    <xsd:import namespace="fc63a28a-40ac-4720-861d-c1112700b83a"/>
    <xsd:import namespace="01fea214-21f0-4e8d-935d-9d1ab7e0d1f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63a28a-40ac-4720-861d-c1112700b83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ea214-21f0-4e8d-935d-9d1ab7e0d1fa"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7D439E-8C8C-482F-9AC3-78C40E2E1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63a28a-40ac-4720-861d-c1112700b83a"/>
    <ds:schemaRef ds:uri="01fea214-21f0-4e8d-935d-9d1ab7e0d1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CE497-43D1-4A56-AF03-A6E080EBB3F6}">
  <ds:schemaRefs>
    <ds:schemaRef ds:uri="http://schemas.microsoft.com/sharepoint/v3/contenttype/forms"/>
  </ds:schemaRefs>
</ds:datastoreItem>
</file>

<file path=customXml/itemProps3.xml><?xml version="1.0" encoding="utf-8"?>
<ds:datastoreItem xmlns:ds="http://schemas.openxmlformats.org/officeDocument/2006/customXml" ds:itemID="{DAA9D35E-4269-4628-AAD7-49DCB43F221F}">
  <ds:schemaRefs>
    <ds:schemaRef ds:uri="http://purl.org/dc/terms/"/>
    <ds:schemaRef ds:uri="http://purl.org/dc/dcmitype/"/>
    <ds:schemaRef ds:uri="http://www.w3.org/XML/1998/namespace"/>
    <ds:schemaRef ds:uri="fc63a28a-40ac-4720-861d-c1112700b83a"/>
    <ds:schemaRef ds:uri="http://schemas.microsoft.com/office/2006/documentManagement/types"/>
    <ds:schemaRef ds:uri="01fea214-21f0-4e8d-935d-9d1ab7e0d1fa"/>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Master List - Lowe's in store</vt:lpstr>
      <vt:lpstr>Main Data File</vt:lpstr>
      <vt:lpstr>4' RV Only</vt:lpstr>
      <vt:lpstr>4' Mobile Home Only</vt:lpstr>
      <vt:lpstr>4' RV and Mobile Home</vt:lpstr>
      <vt:lpstr>8' RV and Mobile Home</vt:lpstr>
      <vt:lpstr>Item-POG breakout</vt:lpstr>
      <vt:lpstr>Lowe's final SKU list</vt:lpstr>
      <vt:lpstr>Jones Stephens</vt:lpstr>
      <vt:lpstr>Master List (Archive)</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Arhontoulis</dc:creator>
  <cp:keywords/>
  <dc:description/>
  <cp:lastModifiedBy>Maria Arhontoulis</cp:lastModifiedBy>
  <cp:revision/>
  <dcterms:created xsi:type="dcterms:W3CDTF">2017-11-06T22:07:31Z</dcterms:created>
  <dcterms:modified xsi:type="dcterms:W3CDTF">2018-02-14T19:17:41Z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0x010100A2E92B02CF81AC42B83B06B94800EAC4</vt:lpwstr>
  </property>
</Properties>
</file>